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rl\Desktop\"/>
    </mc:Choice>
  </mc:AlternateContent>
  <xr:revisionPtr revIDLastSave="0" documentId="13_ncr:1_{C7B84E9D-30E8-40AF-B9DF-D6C5F78F6969}" xr6:coauthVersionLast="45" xr6:coauthVersionMax="45" xr10:uidLastSave="{00000000-0000-0000-0000-000000000000}"/>
  <bookViews>
    <workbookView xWindow="-110" yWindow="-110" windowWidth="19420" windowHeight="10420" xr2:uid="{BBE20CFD-5BD8-4FC2-B080-F9417587C112}"/>
  </bookViews>
  <sheets>
    <sheet name="Intrinsic Value Model" sheetId="5" r:id="rId1"/>
    <sheet name="Income Statement Projections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B14" i="5"/>
  <c r="E10" i="5"/>
  <c r="D10" i="5"/>
  <c r="G9" i="5"/>
  <c r="B17" i="5" s="1"/>
  <c r="B18" i="5" s="1"/>
  <c r="F9" i="5"/>
  <c r="F10" i="5" s="1"/>
  <c r="E9" i="5"/>
  <c r="D9" i="5"/>
  <c r="C9" i="5"/>
  <c r="C10" i="5" s="1"/>
  <c r="G10" i="5" l="1"/>
  <c r="B12" i="5" s="1"/>
  <c r="B20" i="5" s="1"/>
  <c r="B24" i="5" s="1"/>
  <c r="M3" i="4"/>
  <c r="N3" i="4" s="1"/>
  <c r="N5" i="4" s="1"/>
  <c r="M4" i="4"/>
  <c r="R12" i="4"/>
  <c r="Q12" i="4"/>
  <c r="P12" i="4"/>
  <c r="O12" i="4"/>
  <c r="R11" i="4"/>
  <c r="Q11" i="4"/>
  <c r="P11" i="4"/>
  <c r="O11" i="4"/>
  <c r="R4" i="4"/>
  <c r="Q4" i="4"/>
  <c r="P4" i="4"/>
  <c r="O4" i="4"/>
  <c r="S7" i="4"/>
  <c r="R7" i="4"/>
  <c r="Q7" i="4"/>
  <c r="P7" i="4"/>
  <c r="O7" i="4"/>
  <c r="N7" i="4"/>
  <c r="N12" i="4"/>
  <c r="N11" i="4"/>
  <c r="N4" i="4"/>
  <c r="M12" i="4"/>
  <c r="M11" i="4"/>
  <c r="L19" i="4"/>
  <c r="K19" i="4"/>
  <c r="J19" i="4"/>
  <c r="I19" i="4"/>
  <c r="H19" i="4"/>
  <c r="G19" i="4"/>
  <c r="F19" i="4"/>
  <c r="E19" i="4"/>
  <c r="D19" i="4"/>
  <c r="C19" i="4"/>
  <c r="B19" i="4"/>
  <c r="O3" i="4" l="1"/>
  <c r="P3" i="4" s="1"/>
  <c r="Q3" i="4" s="1"/>
  <c r="R3" i="4" s="1"/>
  <c r="S3" i="4" s="1"/>
  <c r="N8" i="4"/>
  <c r="N13" i="4" s="1"/>
  <c r="N15" i="4" s="1"/>
  <c r="N16" i="4" s="1"/>
  <c r="N19" i="4" s="1"/>
  <c r="S12" i="4"/>
  <c r="S11" i="4"/>
  <c r="S4" i="4"/>
  <c r="M5" i="4"/>
  <c r="M8" i="4" s="1"/>
  <c r="S5" i="4" l="1"/>
  <c r="S8" i="4" s="1"/>
  <c r="S13" i="4" s="1"/>
  <c r="S15" i="4" s="1"/>
  <c r="S16" i="4" s="1"/>
  <c r="S19" i="4" s="1"/>
  <c r="O5" i="4"/>
  <c r="O8" i="4" s="1"/>
  <c r="O13" i="4" s="1"/>
  <c r="O15" i="4" s="1"/>
  <c r="O16" i="4" s="1"/>
  <c r="O19" i="4" s="1"/>
  <c r="R5" i="4"/>
  <c r="R8" i="4" s="1"/>
  <c r="R13" i="4" s="1"/>
  <c r="R15" i="4" s="1"/>
  <c r="R16" i="4" s="1"/>
  <c r="R19" i="4" s="1"/>
  <c r="P5" i="4"/>
  <c r="P8" i="4" s="1"/>
  <c r="P13" i="4" s="1"/>
  <c r="P15" i="4" s="1"/>
  <c r="Q5" i="4"/>
  <c r="Q8" i="4" s="1"/>
  <c r="Q13" i="4" s="1"/>
  <c r="Q15" i="4" s="1"/>
  <c r="Q16" i="4" s="1"/>
  <c r="Q19" i="4" s="1"/>
  <c r="M13" i="4"/>
  <c r="M15" i="4" l="1"/>
  <c r="M16" i="4" s="1"/>
  <c r="M19" i="4" s="1"/>
  <c r="P16" i="4"/>
  <c r="P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G</author>
  </authors>
  <commentList>
    <comment ref="M3" authorId="0" shapeId="0" xr:uid="{EB362FFC-2F53-4738-B326-839CB1F14D0C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Project a 35% decline in interest income from 2019 due to lower interest rates</t>
        </r>
      </text>
    </comment>
    <comment ref="M4" authorId="0" shapeId="0" xr:uid="{0A9797CB-9B43-4630-83CE-BD4DCB664F91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Project a 30% decline in interest expense due to lower interest rates</t>
        </r>
      </text>
    </comment>
    <comment ref="N4" authorId="0" shapeId="0" xr:uid="{83866C04-BECC-42C6-94AD-98541DC9D8CB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Project a 30% decline in interest expense due to lower interest rates</t>
        </r>
      </text>
    </comment>
    <comment ref="M7" authorId="0" shapeId="0" xr:uid="{2829953A-2157-46AF-9F35-AD299B45ABAC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Project an additional $6 billion in provision for credit losses in addition to the $13.5 already taken for the 1st 6 months of the year</t>
        </r>
      </text>
    </comment>
    <comment ref="N7" authorId="0" shapeId="0" xr:uid="{FE01F62B-12C1-4227-99DB-423F6F7D0426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Provision for Credit losses are cut in half as pandemic starts to stabalizes and economy begins recovery</t>
        </r>
      </text>
    </comment>
    <comment ref="O7" authorId="0" shapeId="0" xr:uid="{633DE976-A4F5-4ECC-A54E-48A8AF7763A3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Provision for credit losses cut in half again but start to level off as economy recovers</t>
        </r>
      </text>
    </comment>
    <comment ref="M11" authorId="0" shapeId="0" xr:uid="{8FE0A9D5-583C-4B68-8560-B9322CC5E710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10% reduction in noninterest revenue</t>
        </r>
      </text>
    </comment>
    <comment ref="M12" authorId="0" shapeId="0" xr:uid="{9029747E-9A4D-4055-ACB0-845C108F7320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20% reduction in noninterest expense due to cost cuts in making Wells Fargo more efficient</t>
        </r>
      </text>
    </comment>
    <comment ref="M15" authorId="0" shapeId="0" xr:uid="{E1C3CC2B-37AE-414F-8D7C-E8059321DB49}">
      <text>
        <r>
          <rPr>
            <b/>
            <sz val="9"/>
            <color indexed="81"/>
            <rFont val="Tahoma"/>
            <family val="2"/>
          </rPr>
          <t>Mike G:</t>
        </r>
        <r>
          <rPr>
            <sz val="9"/>
            <color indexed="81"/>
            <rFont val="Tahoma"/>
            <family val="2"/>
          </rPr>
          <t xml:space="preserve">
21% tax rate for 2020
</t>
        </r>
      </text>
    </comment>
  </commentList>
</comments>
</file>

<file path=xl/sharedStrings.xml><?xml version="1.0" encoding="utf-8"?>
<sst xmlns="http://schemas.openxmlformats.org/spreadsheetml/2006/main" count="32" uniqueCount="30">
  <si>
    <t>TTM</t>
  </si>
  <si>
    <t>Interest Income</t>
  </si>
  <si>
    <t>Interest Expense</t>
  </si>
  <si>
    <t>Net Interest Income</t>
  </si>
  <si>
    <t>Provision for Credit Losses</t>
  </si>
  <si>
    <t>Net Interest Income After Provision</t>
  </si>
  <si>
    <t>Noninterest Revenue</t>
  </si>
  <si>
    <t>Noninterest Expense</t>
  </si>
  <si>
    <t>Pre-Tax Income</t>
  </si>
  <si>
    <t>Tax Provision</t>
  </si>
  <si>
    <t>Net Income</t>
  </si>
  <si>
    <t>Interest Income &amp; Expense:</t>
  </si>
  <si>
    <t>Noninterest Income &amp; Expense:</t>
  </si>
  <si>
    <t>Preferred Dividend</t>
  </si>
  <si>
    <t>Net Income Available to Common</t>
  </si>
  <si>
    <t>Growth</t>
  </si>
  <si>
    <t>Required return</t>
  </si>
  <si>
    <t>Terminal Growth</t>
  </si>
  <si>
    <t>Terminal Value</t>
  </si>
  <si>
    <t>Discount Rates</t>
  </si>
  <si>
    <t>Discounted FCF</t>
  </si>
  <si>
    <t>Sum of Discounted FCF</t>
  </si>
  <si>
    <t>FCF in 2025</t>
  </si>
  <si>
    <t>Multiple</t>
  </si>
  <si>
    <t>Discount Rate</t>
  </si>
  <si>
    <t>Discounted Terminal Value</t>
  </si>
  <si>
    <t>Terminal Value Plus Total Disc cash flows</t>
  </si>
  <si>
    <t>Shares Outstanding</t>
  </si>
  <si>
    <t>Value Per share</t>
  </si>
  <si>
    <t>*All data except per share and percentages are in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</si>
</sst>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2"/>
      <color rgb="FF333333"/>
      <name val="Verdana"/>
      <family val="2"/>
    </font>
    <font>
      <sz val="12"/>
      <color rgb="FF33333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5E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E8E8E8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E8E8E8"/>
      </top>
      <bottom/>
      <diagonal/>
    </border>
    <border>
      <left/>
      <right style="medium">
        <color indexed="64"/>
      </right>
      <top style="medium">
        <color rgb="FFE8E8E8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1" fillId="3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vertical="top" wrapText="1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3" fontId="2" fillId="3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" fontId="2" fillId="3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3" fontId="1" fillId="3" borderId="2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horizontal="right" wrapText="1"/>
    </xf>
    <xf numFmtId="3" fontId="2" fillId="5" borderId="2" xfId="0" applyNumberFormat="1" applyFont="1" applyFill="1" applyBorder="1" applyAlignment="1">
      <alignment horizontal="right" wrapText="1"/>
    </xf>
    <xf numFmtId="3" fontId="1" fillId="5" borderId="2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0" fontId="1" fillId="5" borderId="5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right" vertical="top" wrapText="1"/>
    </xf>
    <xf numFmtId="0" fontId="1" fillId="5" borderId="0" xfId="0" applyFont="1" applyFill="1" applyBorder="1" applyAlignment="1">
      <alignment horizontal="right" vertical="top" wrapText="1"/>
    </xf>
    <xf numFmtId="0" fontId="0" fillId="5" borderId="0" xfId="0" applyFill="1" applyBorder="1"/>
    <xf numFmtId="0" fontId="0" fillId="5" borderId="7" xfId="0" applyFill="1" applyBorder="1"/>
    <xf numFmtId="3" fontId="2" fillId="5" borderId="6" xfId="0" applyNumberFormat="1" applyFont="1" applyFill="1" applyBorder="1" applyAlignment="1">
      <alignment horizontal="right" wrapText="1"/>
    </xf>
    <xf numFmtId="3" fontId="2" fillId="5" borderId="0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8" xfId="0" applyNumberFormat="1" applyFont="1" applyFill="1" applyBorder="1" applyAlignment="1">
      <alignment horizontal="right" wrapText="1"/>
    </xf>
    <xf numFmtId="3" fontId="2" fillId="5" borderId="9" xfId="0" applyNumberFormat="1" applyFont="1" applyFill="1" applyBorder="1" applyAlignment="1">
      <alignment horizontal="right" wrapText="1"/>
    </xf>
    <xf numFmtId="3" fontId="2" fillId="5" borderId="10" xfId="0" applyNumberFormat="1" applyFont="1" applyFill="1" applyBorder="1" applyAlignment="1">
      <alignment horizontal="right" wrapText="1"/>
    </xf>
    <xf numFmtId="3" fontId="2" fillId="5" borderId="11" xfId="0" applyNumberFormat="1" applyFont="1" applyFill="1" applyBorder="1" applyAlignment="1">
      <alignment horizontal="right" wrapText="1"/>
    </xf>
    <xf numFmtId="0" fontId="2" fillId="5" borderId="6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3" fontId="1" fillId="5" borderId="10" xfId="0" applyNumberFormat="1" applyFont="1" applyFill="1" applyBorder="1" applyAlignment="1">
      <alignment horizontal="right" wrapText="1"/>
    </xf>
    <xf numFmtId="3" fontId="1" fillId="5" borderId="11" xfId="0" applyNumberFormat="1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0" fillId="5" borderId="6" xfId="0" applyFill="1" applyBorder="1"/>
    <xf numFmtId="3" fontId="1" fillId="5" borderId="12" xfId="0" applyNumberFormat="1" applyFont="1" applyFill="1" applyBorder="1" applyAlignment="1">
      <alignment horizontal="right" wrapText="1"/>
    </xf>
    <xf numFmtId="3" fontId="1" fillId="5" borderId="13" xfId="0" applyNumberFormat="1" applyFont="1" applyFill="1" applyBorder="1" applyAlignment="1">
      <alignment horizontal="right" wrapText="1"/>
    </xf>
    <xf numFmtId="3" fontId="1" fillId="5" borderId="14" xfId="0" applyNumberFormat="1" applyFont="1" applyFill="1" applyBorder="1" applyAlignment="1">
      <alignment horizontal="right" wrapText="1"/>
    </xf>
    <xf numFmtId="0" fontId="1" fillId="4" borderId="0" xfId="0" applyFont="1" applyFill="1" applyAlignment="1">
      <alignment horizontal="left" vertical="center" wrapText="1"/>
    </xf>
    <xf numFmtId="0" fontId="0" fillId="0" borderId="15" xfId="0" applyBorder="1"/>
    <xf numFmtId="164" fontId="0" fillId="0" borderId="15" xfId="3" applyNumberFormat="1" applyFont="1" applyBorder="1"/>
    <xf numFmtId="9" fontId="0" fillId="0" borderId="15" xfId="3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44" fontId="0" fillId="0" borderId="0" xfId="2" applyFont="1" applyBorder="1"/>
    <xf numFmtId="44" fontId="0" fillId="0" borderId="21" xfId="2" applyFont="1" applyBorder="1"/>
    <xf numFmtId="0" fontId="0" fillId="0" borderId="20" xfId="0" applyBorder="1"/>
    <xf numFmtId="2" fontId="0" fillId="0" borderId="22" xfId="0" applyNumberFormat="1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44" fontId="0" fillId="5" borderId="22" xfId="0" applyNumberFormat="1" applyFill="1" applyBorder="1"/>
    <xf numFmtId="0" fontId="0" fillId="0" borderId="17" xfId="0" applyBorder="1"/>
    <xf numFmtId="0" fontId="0" fillId="5" borderId="0" xfId="0" applyFill="1" applyAlignment="1">
      <alignment wrapText="1"/>
    </xf>
    <xf numFmtId="44" fontId="0" fillId="5" borderId="0" xfId="0" applyNumberFormat="1" applyFill="1"/>
    <xf numFmtId="44" fontId="0" fillId="0" borderId="0" xfId="0" applyNumberFormat="1"/>
    <xf numFmtId="0" fontId="0" fillId="5" borderId="0" xfId="0" applyFill="1"/>
    <xf numFmtId="0" fontId="0" fillId="5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 applyAlignment="1">
      <alignment horizontal="center"/>
    </xf>
    <xf numFmtId="44" fontId="0" fillId="5" borderId="0" xfId="0" applyNumberFormat="1" applyFill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DEBC-D6DD-43FD-AA03-397439495F35}">
  <dimension ref="A2:H26"/>
  <sheetViews>
    <sheetView tabSelected="1" zoomScale="70" zoomScaleNormal="70" workbookViewId="0">
      <selection activeCell="F16" sqref="F16"/>
    </sheetView>
  </sheetViews>
  <sheetFormatPr defaultRowHeight="14.5" x14ac:dyDescent="0.35"/>
  <cols>
    <col min="1" max="1" width="13.81640625" bestFit="1" customWidth="1"/>
    <col min="2" max="2" width="15" bestFit="1" customWidth="1"/>
    <col min="3" max="3" width="10.08984375" bestFit="1" customWidth="1"/>
    <col min="4" max="7" width="11.08984375" bestFit="1" customWidth="1"/>
    <col min="8" max="8" width="13.36328125" bestFit="1" customWidth="1"/>
  </cols>
  <sheetData>
    <row r="2" spans="1:8" x14ac:dyDescent="0.35">
      <c r="B2" s="53" t="s">
        <v>15</v>
      </c>
      <c r="C2" s="54">
        <v>0.03</v>
      </c>
    </row>
    <row r="3" spans="1:8" x14ac:dyDescent="0.35">
      <c r="B3" s="53" t="s">
        <v>16</v>
      </c>
      <c r="C3" s="54">
        <v>0.1</v>
      </c>
    </row>
    <row r="4" spans="1:8" x14ac:dyDescent="0.35">
      <c r="B4" s="53" t="s">
        <v>17</v>
      </c>
      <c r="C4" s="55">
        <v>0.02</v>
      </c>
    </row>
    <row r="6" spans="1:8" x14ac:dyDescent="0.35">
      <c r="B6" s="56">
        <v>0</v>
      </c>
      <c r="C6" s="57">
        <v>1</v>
      </c>
      <c r="D6" s="57">
        <v>2</v>
      </c>
      <c r="E6" s="57">
        <v>3</v>
      </c>
      <c r="F6" s="57">
        <v>4</v>
      </c>
      <c r="G6" s="57">
        <v>5</v>
      </c>
      <c r="H6" t="s">
        <v>18</v>
      </c>
    </row>
    <row r="7" spans="1:8" x14ac:dyDescent="0.35">
      <c r="A7" s="58"/>
      <c r="B7" s="59">
        <v>2020</v>
      </c>
      <c r="C7" s="59">
        <v>2021</v>
      </c>
      <c r="D7" s="59">
        <v>2022</v>
      </c>
      <c r="E7" s="59">
        <v>2023</v>
      </c>
      <c r="F7" s="59">
        <v>2024</v>
      </c>
      <c r="G7" s="59">
        <v>2025</v>
      </c>
      <c r="H7" s="59">
        <v>2026</v>
      </c>
    </row>
    <row r="8" spans="1:8" x14ac:dyDescent="0.35">
      <c r="A8" s="60" t="s">
        <v>10</v>
      </c>
      <c r="B8" s="61">
        <v>-2377</v>
      </c>
      <c r="C8" s="61">
        <v>7674</v>
      </c>
      <c r="D8" s="61">
        <v>12004</v>
      </c>
      <c r="E8" s="61">
        <v>14269</v>
      </c>
      <c r="F8" s="61">
        <v>14736</v>
      </c>
      <c r="G8" s="61">
        <v>15218</v>
      </c>
      <c r="H8" s="62">
        <v>15534</v>
      </c>
    </row>
    <row r="9" spans="1:8" x14ac:dyDescent="0.35">
      <c r="A9" s="63" t="s">
        <v>19</v>
      </c>
      <c r="C9" s="64">
        <f>1/((1+$C$3)^1)</f>
        <v>0.90909090909090906</v>
      </c>
      <c r="D9" s="64">
        <f>1/((1+$C$3)^2)</f>
        <v>0.82644628099173545</v>
      </c>
      <c r="E9" s="64">
        <f>1/((1+$C$3)^3)</f>
        <v>0.75131480090157754</v>
      </c>
      <c r="F9" s="64">
        <f>1/((1+$C$3)^4)</f>
        <v>0.68301345536507052</v>
      </c>
      <c r="G9" s="64">
        <f>1/((1+$C$3)^5)</f>
        <v>0.62092132305915493</v>
      </c>
      <c r="H9" s="65"/>
    </row>
    <row r="10" spans="1:8" x14ac:dyDescent="0.35">
      <c r="A10" s="66" t="s">
        <v>20</v>
      </c>
      <c r="B10" s="67"/>
      <c r="C10" s="68">
        <f>C8*C9</f>
        <v>6976.363636363636</v>
      </c>
      <c r="D10" s="68">
        <f>D8*D9</f>
        <v>9920.6611570247915</v>
      </c>
      <c r="E10" s="68">
        <f>E8*E9</f>
        <v>10720.51089406461</v>
      </c>
      <c r="F10" s="68">
        <f>F8*F9</f>
        <v>10064.886278259679</v>
      </c>
      <c r="G10" s="68">
        <f>G8*G9</f>
        <v>9449.1806943142201</v>
      </c>
      <c r="H10" s="69"/>
    </row>
    <row r="12" spans="1:8" ht="29" x14ac:dyDescent="0.35">
      <c r="A12" s="70" t="s">
        <v>21</v>
      </c>
      <c r="B12" s="71">
        <f>C10+D10+E10+F10+G10</f>
        <v>47131.60266002694</v>
      </c>
    </row>
    <row r="14" spans="1:8" x14ac:dyDescent="0.35">
      <c r="A14" t="s">
        <v>22</v>
      </c>
      <c r="B14" s="72">
        <f>H8</f>
        <v>15534</v>
      </c>
    </row>
    <row r="15" spans="1:8" x14ac:dyDescent="0.35">
      <c r="A15" s="73" t="s">
        <v>23</v>
      </c>
      <c r="B15" s="74">
        <v>15</v>
      </c>
    </row>
    <row r="16" spans="1:8" x14ac:dyDescent="0.35">
      <c r="A16" t="s">
        <v>18</v>
      </c>
      <c r="B16" s="72">
        <f>B14*B15</f>
        <v>233010</v>
      </c>
    </row>
    <row r="17" spans="1:6" x14ac:dyDescent="0.35">
      <c r="A17" t="s">
        <v>24</v>
      </c>
      <c r="B17" s="75">
        <f>G9</f>
        <v>0.62092132305915493</v>
      </c>
    </row>
    <row r="18" spans="1:6" ht="29" x14ac:dyDescent="0.35">
      <c r="A18" s="70" t="s">
        <v>25</v>
      </c>
      <c r="B18" s="71">
        <f>B16*B17</f>
        <v>144680.87748601369</v>
      </c>
    </row>
    <row r="20" spans="1:6" ht="43.5" x14ac:dyDescent="0.35">
      <c r="A20" s="70" t="s">
        <v>26</v>
      </c>
      <c r="B20" s="71">
        <f>B12+B18</f>
        <v>191812.48014604062</v>
      </c>
    </row>
    <row r="22" spans="1:6" ht="29" x14ac:dyDescent="0.35">
      <c r="A22" s="76" t="s">
        <v>27</v>
      </c>
      <c r="B22" s="77">
        <v>4120</v>
      </c>
    </row>
    <row r="24" spans="1:6" x14ac:dyDescent="0.35">
      <c r="A24" s="73" t="s">
        <v>28</v>
      </c>
      <c r="B24" s="78">
        <f>B20/B22</f>
        <v>46.55642721991277</v>
      </c>
    </row>
    <row r="26" spans="1:6" x14ac:dyDescent="0.35">
      <c r="A26" s="79" t="s">
        <v>29</v>
      </c>
      <c r="B26" s="80"/>
      <c r="C26" s="80"/>
      <c r="D26" s="80"/>
      <c r="E26" s="80"/>
      <c r="F26" s="81"/>
    </row>
  </sheetData>
  <mergeCells count="1">
    <mergeCell ref="A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15C7-3E2C-4C07-BB25-EE60400D1862}">
  <dimension ref="A1:S19"/>
  <sheetViews>
    <sheetView zoomScale="70" zoomScaleNormal="70" workbookViewId="0">
      <pane ySplit="1" topLeftCell="A2" activePane="bottomLeft" state="frozen"/>
      <selection pane="bottomLeft" activeCell="D24" sqref="D24"/>
    </sheetView>
  </sheetViews>
  <sheetFormatPr defaultRowHeight="14.5" x14ac:dyDescent="0.35"/>
  <cols>
    <col min="1" max="1" width="27.36328125" customWidth="1"/>
    <col min="2" max="4" width="11.1796875" bestFit="1" customWidth="1"/>
    <col min="5" max="8" width="11.453125" bestFit="1" customWidth="1"/>
    <col min="9" max="12" width="11.1796875" bestFit="1" customWidth="1"/>
    <col min="13" max="13" width="10.81640625" bestFit="1" customWidth="1"/>
    <col min="14" max="16" width="9.7265625" bestFit="1" customWidth="1"/>
    <col min="17" max="17" width="10.6328125" bestFit="1" customWidth="1"/>
    <col min="18" max="19" width="9.7265625" bestFit="1" customWidth="1"/>
  </cols>
  <sheetData>
    <row r="1" spans="1:19" ht="15.5" x14ac:dyDescent="0.35">
      <c r="B1" s="1">
        <v>2010</v>
      </c>
      <c r="C1" s="2">
        <v>2011</v>
      </c>
      <c r="D1" s="1">
        <v>2012</v>
      </c>
      <c r="E1" s="2">
        <v>2013</v>
      </c>
      <c r="F1" s="1">
        <v>2014</v>
      </c>
      <c r="G1" s="2">
        <v>2015</v>
      </c>
      <c r="H1" s="1">
        <v>2016</v>
      </c>
      <c r="I1" s="2">
        <v>2017</v>
      </c>
      <c r="J1" s="1">
        <v>2018</v>
      </c>
      <c r="K1" s="2">
        <v>2019</v>
      </c>
      <c r="L1" s="1" t="s">
        <v>0</v>
      </c>
      <c r="M1" s="23">
        <v>2020</v>
      </c>
      <c r="N1" s="24">
        <v>2021</v>
      </c>
      <c r="O1" s="24">
        <v>2022</v>
      </c>
      <c r="P1" s="24">
        <v>2023</v>
      </c>
      <c r="Q1" s="24">
        <v>2024</v>
      </c>
      <c r="R1" s="24">
        <v>2025</v>
      </c>
      <c r="S1" s="25">
        <v>2026</v>
      </c>
    </row>
    <row r="2" spans="1:19" ht="15" x14ac:dyDescent="0.35">
      <c r="A2" s="52" t="s">
        <v>11</v>
      </c>
      <c r="B2" s="52"/>
      <c r="C2" s="52"/>
      <c r="D2" s="3"/>
      <c r="E2" s="3"/>
      <c r="F2" s="3"/>
      <c r="G2" s="3"/>
      <c r="H2" s="3"/>
      <c r="I2" s="3"/>
      <c r="J2" s="3"/>
      <c r="K2" s="3"/>
      <c r="L2" s="3"/>
      <c r="M2" s="26"/>
      <c r="N2" s="27"/>
      <c r="O2" s="27"/>
      <c r="P2" s="27"/>
      <c r="Q2" s="28"/>
      <c r="R2" s="28"/>
      <c r="S2" s="29"/>
    </row>
    <row r="3" spans="1:19" ht="16" thickBot="1" x14ac:dyDescent="0.4">
      <c r="A3" s="4" t="s">
        <v>1</v>
      </c>
      <c r="B3" s="10">
        <v>52796</v>
      </c>
      <c r="C3" s="11">
        <v>49412</v>
      </c>
      <c r="D3" s="10">
        <v>48391</v>
      </c>
      <c r="E3" s="11">
        <v>47089</v>
      </c>
      <c r="F3" s="10">
        <v>47552</v>
      </c>
      <c r="G3" s="11">
        <v>49277</v>
      </c>
      <c r="H3" s="10">
        <v>53663</v>
      </c>
      <c r="I3" s="11">
        <v>58909</v>
      </c>
      <c r="J3" s="10">
        <v>64647</v>
      </c>
      <c r="K3" s="11">
        <v>66083</v>
      </c>
      <c r="L3" s="10">
        <v>58622</v>
      </c>
      <c r="M3" s="30">
        <f>K3*0.65</f>
        <v>42953.950000000004</v>
      </c>
      <c r="N3" s="31">
        <f>M3</f>
        <v>42953.950000000004</v>
      </c>
      <c r="O3" s="31">
        <f t="shared" ref="O3:R4" si="0">N3*1.03</f>
        <v>44242.568500000008</v>
      </c>
      <c r="P3" s="31">
        <f t="shared" si="0"/>
        <v>45569.845555000007</v>
      </c>
      <c r="Q3" s="31">
        <f t="shared" si="0"/>
        <v>46936.940921650006</v>
      </c>
      <c r="R3" s="31">
        <f t="shared" si="0"/>
        <v>48345.049149299506</v>
      </c>
      <c r="S3" s="32">
        <f>R3*1.02</f>
        <v>49311.950132285499</v>
      </c>
    </row>
    <row r="4" spans="1:19" ht="16" thickBot="1" x14ac:dyDescent="0.4">
      <c r="A4" s="5" t="s">
        <v>2</v>
      </c>
      <c r="B4" s="12">
        <v>8039</v>
      </c>
      <c r="C4" s="13">
        <v>6649</v>
      </c>
      <c r="D4" s="12">
        <v>5161</v>
      </c>
      <c r="E4" s="13">
        <v>4289</v>
      </c>
      <c r="F4" s="12">
        <v>4025</v>
      </c>
      <c r="G4" s="13">
        <v>3976</v>
      </c>
      <c r="H4" s="12">
        <v>5909</v>
      </c>
      <c r="I4" s="13">
        <v>9352</v>
      </c>
      <c r="J4" s="12">
        <v>14652</v>
      </c>
      <c r="K4" s="13">
        <v>18852</v>
      </c>
      <c r="L4" s="12">
        <v>14605</v>
      </c>
      <c r="M4" s="33">
        <f>K4*0.7</f>
        <v>13196.4</v>
      </c>
      <c r="N4" s="20">
        <f>L4*0.7</f>
        <v>10223.5</v>
      </c>
      <c r="O4" s="20">
        <f t="shared" si="0"/>
        <v>10530.205</v>
      </c>
      <c r="P4" s="20">
        <f t="shared" si="0"/>
        <v>10846.111150000001</v>
      </c>
      <c r="Q4" s="20">
        <f t="shared" si="0"/>
        <v>11171.494484500001</v>
      </c>
      <c r="R4" s="20">
        <f t="shared" si="0"/>
        <v>11506.639319035001</v>
      </c>
      <c r="S4" s="34">
        <f>R4*1.02</f>
        <v>11736.772105415701</v>
      </c>
    </row>
    <row r="5" spans="1:19" ht="15.5" x14ac:dyDescent="0.35">
      <c r="A5" s="6" t="s">
        <v>3</v>
      </c>
      <c r="B5" s="14">
        <v>44757</v>
      </c>
      <c r="C5" s="15">
        <v>42763</v>
      </c>
      <c r="D5" s="14">
        <v>43230</v>
      </c>
      <c r="E5" s="15">
        <v>42800</v>
      </c>
      <c r="F5" s="14">
        <v>43527</v>
      </c>
      <c r="G5" s="15">
        <v>45301</v>
      </c>
      <c r="H5" s="14">
        <v>47754</v>
      </c>
      <c r="I5" s="15">
        <v>49557</v>
      </c>
      <c r="J5" s="14">
        <v>49995</v>
      </c>
      <c r="K5" s="15">
        <v>47231</v>
      </c>
      <c r="L5" s="14">
        <v>44017</v>
      </c>
      <c r="M5" s="35">
        <f t="shared" ref="M5:S5" si="1">M3-M4</f>
        <v>29757.550000000003</v>
      </c>
      <c r="N5" s="21">
        <f t="shared" si="1"/>
        <v>32730.450000000004</v>
      </c>
      <c r="O5" s="21">
        <f t="shared" si="1"/>
        <v>33712.363500000007</v>
      </c>
      <c r="P5" s="21">
        <f t="shared" si="1"/>
        <v>34723.73440500001</v>
      </c>
      <c r="Q5" s="21">
        <f t="shared" si="1"/>
        <v>35765.446437150007</v>
      </c>
      <c r="R5" s="21">
        <f t="shared" si="1"/>
        <v>36838.409830264507</v>
      </c>
      <c r="S5" s="36">
        <f t="shared" si="1"/>
        <v>37575.178026869798</v>
      </c>
    </row>
    <row r="6" spans="1:19" ht="16" thickBot="1" x14ac:dyDescent="0.4">
      <c r="A6" s="4"/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37"/>
      <c r="N6" s="38"/>
      <c r="O6" s="38"/>
      <c r="P6" s="38"/>
      <c r="Q6" s="38"/>
      <c r="R6" s="38"/>
      <c r="S6" s="39"/>
    </row>
    <row r="7" spans="1:19" ht="30.5" thickBot="1" x14ac:dyDescent="0.4">
      <c r="A7" s="5" t="s">
        <v>4</v>
      </c>
      <c r="B7" s="12">
        <v>15753</v>
      </c>
      <c r="C7" s="13">
        <v>7899</v>
      </c>
      <c r="D7" s="12">
        <v>7217</v>
      </c>
      <c r="E7" s="13">
        <v>2309</v>
      </c>
      <c r="F7" s="12">
        <v>1395</v>
      </c>
      <c r="G7" s="13">
        <v>2442</v>
      </c>
      <c r="H7" s="12">
        <v>3770</v>
      </c>
      <c r="I7" s="13">
        <v>2528</v>
      </c>
      <c r="J7" s="12">
        <v>1744</v>
      </c>
      <c r="K7" s="13">
        <v>2687</v>
      </c>
      <c r="L7" s="12">
        <v>14878</v>
      </c>
      <c r="M7" s="33">
        <v>19500</v>
      </c>
      <c r="N7" s="20">
        <f>M7/2</f>
        <v>9750</v>
      </c>
      <c r="O7" s="20">
        <f>N7/2</f>
        <v>4875</v>
      </c>
      <c r="P7" s="20">
        <f>(K7+J7+I7+H7+G7)/5</f>
        <v>2634.2</v>
      </c>
      <c r="Q7" s="20">
        <f>P7*1.02</f>
        <v>2686.884</v>
      </c>
      <c r="R7" s="20">
        <f>Q7*1.02</f>
        <v>2740.6216800000002</v>
      </c>
      <c r="S7" s="34">
        <f>R7*1.02</f>
        <v>2795.4341136000003</v>
      </c>
    </row>
    <row r="8" spans="1:19" ht="30" x14ac:dyDescent="0.35">
      <c r="A8" s="9" t="s">
        <v>5</v>
      </c>
      <c r="B8" s="18">
        <v>29004</v>
      </c>
      <c r="C8" s="19">
        <v>34864</v>
      </c>
      <c r="D8" s="18">
        <v>36013</v>
      </c>
      <c r="E8" s="19">
        <v>40491</v>
      </c>
      <c r="F8" s="18">
        <v>42132</v>
      </c>
      <c r="G8" s="19">
        <v>42859</v>
      </c>
      <c r="H8" s="18">
        <v>43984</v>
      </c>
      <c r="I8" s="19">
        <v>47029</v>
      </c>
      <c r="J8" s="18">
        <v>48251</v>
      </c>
      <c r="K8" s="19">
        <v>44544</v>
      </c>
      <c r="L8" s="18">
        <v>29139</v>
      </c>
      <c r="M8" s="40">
        <f t="shared" ref="M8:S8" si="2">M5-M7</f>
        <v>10257.550000000003</v>
      </c>
      <c r="N8" s="22">
        <f t="shared" si="2"/>
        <v>22980.450000000004</v>
      </c>
      <c r="O8" s="22">
        <f t="shared" si="2"/>
        <v>28837.363500000007</v>
      </c>
      <c r="P8" s="22">
        <f t="shared" si="2"/>
        <v>32089.534405000009</v>
      </c>
      <c r="Q8" s="22">
        <f t="shared" si="2"/>
        <v>33078.562437150009</v>
      </c>
      <c r="R8" s="22">
        <f t="shared" si="2"/>
        <v>34097.788150264503</v>
      </c>
      <c r="S8" s="41">
        <f t="shared" si="2"/>
        <v>34779.743913269798</v>
      </c>
    </row>
    <row r="9" spans="1:19" ht="15.5" x14ac:dyDescent="0.35">
      <c r="A9" s="4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37"/>
      <c r="N9" s="38"/>
      <c r="O9" s="38"/>
      <c r="P9" s="38"/>
      <c r="Q9" s="38"/>
      <c r="R9" s="38"/>
      <c r="S9" s="39"/>
    </row>
    <row r="10" spans="1:19" ht="15.5" x14ac:dyDescent="0.35">
      <c r="A10" s="52" t="s">
        <v>12</v>
      </c>
      <c r="B10" s="52"/>
      <c r="C10" s="52"/>
      <c r="D10" s="1"/>
      <c r="E10" s="2"/>
      <c r="F10" s="1"/>
      <c r="G10" s="2"/>
      <c r="H10" s="1"/>
      <c r="I10" s="2"/>
      <c r="J10" s="1"/>
      <c r="K10" s="2"/>
      <c r="L10" s="1"/>
      <c r="M10" s="42"/>
      <c r="N10" s="43"/>
      <c r="O10" s="43"/>
      <c r="P10" s="43"/>
      <c r="Q10" s="43"/>
      <c r="R10" s="43"/>
      <c r="S10" s="44"/>
    </row>
    <row r="11" spans="1:19" ht="16" thickBot="1" x14ac:dyDescent="0.4">
      <c r="A11" s="4" t="s">
        <v>6</v>
      </c>
      <c r="B11" s="10">
        <v>39674</v>
      </c>
      <c r="C11" s="11">
        <v>36703</v>
      </c>
      <c r="D11" s="10">
        <v>41371</v>
      </c>
      <c r="E11" s="11">
        <v>39508</v>
      </c>
      <c r="F11" s="10">
        <v>38440</v>
      </c>
      <c r="G11" s="11">
        <v>38526</v>
      </c>
      <c r="H11" s="10">
        <v>40513</v>
      </c>
      <c r="I11" s="11">
        <v>38832</v>
      </c>
      <c r="J11" s="10">
        <v>36413</v>
      </c>
      <c r="K11" s="11">
        <v>37832</v>
      </c>
      <c r="L11" s="10">
        <v>33406</v>
      </c>
      <c r="M11" s="30">
        <f>K11*0.9</f>
        <v>34048.800000000003</v>
      </c>
      <c r="N11" s="31">
        <f>M11</f>
        <v>34048.800000000003</v>
      </c>
      <c r="O11" s="31">
        <f t="shared" ref="O11:R12" si="3">N11*1.03</f>
        <v>35070.264000000003</v>
      </c>
      <c r="P11" s="31">
        <f t="shared" si="3"/>
        <v>36122.371920000005</v>
      </c>
      <c r="Q11" s="31">
        <f t="shared" si="3"/>
        <v>37206.043077600007</v>
      </c>
      <c r="R11" s="31">
        <f t="shared" si="3"/>
        <v>38322.224369928008</v>
      </c>
      <c r="S11" s="32">
        <f>R11*1.02</f>
        <v>39088.668857326571</v>
      </c>
    </row>
    <row r="12" spans="1:19" ht="16" thickBot="1" x14ac:dyDescent="0.4">
      <c r="A12" s="5" t="s">
        <v>7</v>
      </c>
      <c r="B12" s="12">
        <v>49677</v>
      </c>
      <c r="C12" s="13">
        <v>47911</v>
      </c>
      <c r="D12" s="12">
        <v>48913</v>
      </c>
      <c r="E12" s="13">
        <v>47370</v>
      </c>
      <c r="F12" s="12">
        <v>46657</v>
      </c>
      <c r="G12" s="13">
        <v>47744</v>
      </c>
      <c r="H12" s="12">
        <v>52377</v>
      </c>
      <c r="I12" s="13">
        <v>58484</v>
      </c>
      <c r="J12" s="12">
        <v>56126</v>
      </c>
      <c r="K12" s="13">
        <v>58178</v>
      </c>
      <c r="L12" s="12">
        <v>58412</v>
      </c>
      <c r="M12" s="33">
        <f>K12*0.8</f>
        <v>46542.400000000001</v>
      </c>
      <c r="N12" s="20">
        <f>M12</f>
        <v>46542.400000000001</v>
      </c>
      <c r="O12" s="20">
        <f t="shared" si="3"/>
        <v>47938.672000000006</v>
      </c>
      <c r="P12" s="20">
        <f t="shared" si="3"/>
        <v>49376.832160000005</v>
      </c>
      <c r="Q12" s="20">
        <f t="shared" si="3"/>
        <v>50858.137124800007</v>
      </c>
      <c r="R12" s="20">
        <f t="shared" si="3"/>
        <v>52383.881238544011</v>
      </c>
      <c r="S12" s="34">
        <f>R12*1.02</f>
        <v>53431.558863314895</v>
      </c>
    </row>
    <row r="13" spans="1:19" ht="15.5" x14ac:dyDescent="0.35">
      <c r="A13" s="6" t="s">
        <v>8</v>
      </c>
      <c r="B13" s="14">
        <v>19001</v>
      </c>
      <c r="C13" s="15">
        <v>23656</v>
      </c>
      <c r="D13" s="14">
        <v>28471</v>
      </c>
      <c r="E13" s="15">
        <v>32629</v>
      </c>
      <c r="F13" s="14">
        <v>33915</v>
      </c>
      <c r="G13" s="15">
        <v>33641</v>
      </c>
      <c r="H13" s="14">
        <v>32120</v>
      </c>
      <c r="I13" s="15">
        <v>27377</v>
      </c>
      <c r="J13" s="14">
        <v>28538</v>
      </c>
      <c r="K13" s="15">
        <v>24198</v>
      </c>
      <c r="L13" s="14">
        <v>4133</v>
      </c>
      <c r="M13" s="35">
        <f t="shared" ref="M13:S13" si="4">M8+M11-M12</f>
        <v>-2236.0499999999956</v>
      </c>
      <c r="N13" s="21">
        <f t="shared" si="4"/>
        <v>10486.850000000006</v>
      </c>
      <c r="O13" s="21">
        <f t="shared" si="4"/>
        <v>15968.955500000004</v>
      </c>
      <c r="P13" s="21">
        <f t="shared" si="4"/>
        <v>18835.074165000013</v>
      </c>
      <c r="Q13" s="21">
        <f t="shared" si="4"/>
        <v>19426.468389950009</v>
      </c>
      <c r="R13" s="21">
        <f t="shared" si="4"/>
        <v>20036.131281648501</v>
      </c>
      <c r="S13" s="36">
        <f t="shared" si="4"/>
        <v>20436.853907281467</v>
      </c>
    </row>
    <row r="14" spans="1:19" ht="15.5" thickBot="1" x14ac:dyDescent="0.4">
      <c r="A14" s="4"/>
      <c r="B14" s="7"/>
      <c r="C14" s="8"/>
      <c r="D14" s="7"/>
      <c r="E14" s="8"/>
      <c r="F14" s="7"/>
      <c r="G14" s="8"/>
      <c r="H14" s="7"/>
      <c r="I14" s="8"/>
      <c r="J14" s="7"/>
      <c r="K14" s="8"/>
      <c r="L14" s="7"/>
      <c r="M14" s="45"/>
      <c r="N14" s="46"/>
      <c r="O14" s="46"/>
      <c r="P14" s="46"/>
      <c r="Q14" s="46"/>
      <c r="R14" s="46"/>
      <c r="S14" s="47"/>
    </row>
    <row r="15" spans="1:19" ht="16" thickBot="1" x14ac:dyDescent="0.4">
      <c r="A15" s="5" t="s">
        <v>9</v>
      </c>
      <c r="B15" s="12">
        <v>-6338</v>
      </c>
      <c r="C15" s="13">
        <v>-7445</v>
      </c>
      <c r="D15" s="12">
        <v>-9103</v>
      </c>
      <c r="E15" s="13">
        <v>-10405</v>
      </c>
      <c r="F15" s="12">
        <v>-10307</v>
      </c>
      <c r="G15" s="13">
        <v>-10365</v>
      </c>
      <c r="H15" s="12">
        <v>-10075</v>
      </c>
      <c r="I15" s="13">
        <v>-4917</v>
      </c>
      <c r="J15" s="12">
        <v>-5662</v>
      </c>
      <c r="K15" s="13">
        <v>-4157</v>
      </c>
      <c r="L15" s="12">
        <v>1776</v>
      </c>
      <c r="M15" s="33">
        <f t="shared" ref="M15:S15" si="5">(M13*0.21)*-1</f>
        <v>469.57049999999907</v>
      </c>
      <c r="N15" s="20">
        <f t="shared" si="5"/>
        <v>-2202.2385000000013</v>
      </c>
      <c r="O15" s="20">
        <f t="shared" si="5"/>
        <v>-3353.4806550000008</v>
      </c>
      <c r="P15" s="20">
        <f t="shared" si="5"/>
        <v>-3955.3655746500026</v>
      </c>
      <c r="Q15" s="20">
        <f t="shared" si="5"/>
        <v>-4079.5583618895016</v>
      </c>
      <c r="R15" s="20">
        <f t="shared" si="5"/>
        <v>-4207.5875691461852</v>
      </c>
      <c r="S15" s="34">
        <f t="shared" si="5"/>
        <v>-4291.7393205291082</v>
      </c>
    </row>
    <row r="16" spans="1:19" ht="15.5" x14ac:dyDescent="0.35">
      <c r="A16" s="9" t="s">
        <v>10</v>
      </c>
      <c r="B16" s="18">
        <v>12362</v>
      </c>
      <c r="C16" s="19">
        <v>15869</v>
      </c>
      <c r="D16" s="18">
        <v>18897</v>
      </c>
      <c r="E16" s="19">
        <v>21878</v>
      </c>
      <c r="F16" s="18">
        <v>23057</v>
      </c>
      <c r="G16" s="19">
        <v>22894</v>
      </c>
      <c r="H16" s="18">
        <v>21938</v>
      </c>
      <c r="I16" s="19">
        <v>22183</v>
      </c>
      <c r="J16" s="18">
        <v>22393</v>
      </c>
      <c r="K16" s="19">
        <v>19549</v>
      </c>
      <c r="L16" s="19">
        <v>5757</v>
      </c>
      <c r="M16" s="40">
        <f>(M13+M15)</f>
        <v>-1766.4794999999965</v>
      </c>
      <c r="N16" s="22">
        <f t="shared" ref="N16:S16" si="6">N13+N15</f>
        <v>8284.6115000000045</v>
      </c>
      <c r="O16" s="22">
        <f t="shared" si="6"/>
        <v>12615.474845000002</v>
      </c>
      <c r="P16" s="22">
        <f t="shared" si="6"/>
        <v>14879.70859035001</v>
      </c>
      <c r="Q16" s="22">
        <f t="shared" si="6"/>
        <v>15346.910028060507</v>
      </c>
      <c r="R16" s="22">
        <f t="shared" si="6"/>
        <v>15828.543712502316</v>
      </c>
      <c r="S16" s="41">
        <f t="shared" si="6"/>
        <v>16145.114586752359</v>
      </c>
    </row>
    <row r="17" spans="1:19" ht="15" thickBot="1" x14ac:dyDescent="0.4">
      <c r="M17" s="48"/>
      <c r="N17" s="28"/>
      <c r="O17" s="28"/>
      <c r="P17" s="28"/>
      <c r="Q17" s="28"/>
      <c r="R17" s="28"/>
      <c r="S17" s="29"/>
    </row>
    <row r="18" spans="1:19" ht="16" thickBot="1" x14ac:dyDescent="0.4">
      <c r="A18" s="5" t="s">
        <v>13</v>
      </c>
      <c r="B18" s="12">
        <v>-730</v>
      </c>
      <c r="C18" s="13">
        <v>-840</v>
      </c>
      <c r="D18" s="12">
        <v>-900</v>
      </c>
      <c r="E18" s="13">
        <v>-990</v>
      </c>
      <c r="F18" s="12">
        <v>-1240</v>
      </c>
      <c r="G18" s="13">
        <v>-1420</v>
      </c>
      <c r="H18" s="12">
        <v>-1570</v>
      </c>
      <c r="I18" s="13">
        <v>-1630</v>
      </c>
      <c r="J18" s="12">
        <v>-1710</v>
      </c>
      <c r="K18" s="13">
        <v>-1610</v>
      </c>
      <c r="L18" s="12">
        <v>-1830</v>
      </c>
      <c r="M18" s="33">
        <v>-611</v>
      </c>
      <c r="N18" s="20">
        <v>-611</v>
      </c>
      <c r="O18" s="20">
        <v>-611</v>
      </c>
      <c r="P18" s="20">
        <v>-611</v>
      </c>
      <c r="Q18" s="20">
        <v>-611</v>
      </c>
      <c r="R18" s="20">
        <v>-611</v>
      </c>
      <c r="S18" s="34">
        <v>-611</v>
      </c>
    </row>
    <row r="19" spans="1:19" ht="30.5" thickBot="1" x14ac:dyDescent="0.4">
      <c r="A19" s="9" t="s">
        <v>14</v>
      </c>
      <c r="B19" s="19">
        <f>B16+B18</f>
        <v>11632</v>
      </c>
      <c r="C19" s="19">
        <f t="shared" ref="C19:L19" si="7">C16+C18</f>
        <v>15029</v>
      </c>
      <c r="D19" s="19">
        <f t="shared" si="7"/>
        <v>17997</v>
      </c>
      <c r="E19" s="19">
        <f t="shared" si="7"/>
        <v>20888</v>
      </c>
      <c r="F19" s="19">
        <f t="shared" si="7"/>
        <v>21817</v>
      </c>
      <c r="G19" s="19">
        <f t="shared" si="7"/>
        <v>21474</v>
      </c>
      <c r="H19" s="19">
        <f t="shared" si="7"/>
        <v>20368</v>
      </c>
      <c r="I19" s="19">
        <f t="shared" si="7"/>
        <v>20553</v>
      </c>
      <c r="J19" s="19">
        <f t="shared" si="7"/>
        <v>20683</v>
      </c>
      <c r="K19" s="19">
        <f t="shared" si="7"/>
        <v>17939</v>
      </c>
      <c r="L19" s="19">
        <f t="shared" si="7"/>
        <v>3927</v>
      </c>
      <c r="M19" s="49">
        <f t="shared" ref="M19:S19" si="8">M16+M18</f>
        <v>-2377.4794999999967</v>
      </c>
      <c r="N19" s="50">
        <f t="shared" si="8"/>
        <v>7673.6115000000045</v>
      </c>
      <c r="O19" s="50">
        <f t="shared" si="8"/>
        <v>12004.474845000002</v>
      </c>
      <c r="P19" s="50">
        <f t="shared" si="8"/>
        <v>14268.70859035001</v>
      </c>
      <c r="Q19" s="50">
        <f t="shared" si="8"/>
        <v>14735.910028060507</v>
      </c>
      <c r="R19" s="50">
        <f t="shared" si="8"/>
        <v>15217.543712502316</v>
      </c>
      <c r="S19" s="51">
        <f t="shared" si="8"/>
        <v>15534.114586752359</v>
      </c>
    </row>
  </sheetData>
  <mergeCells count="2">
    <mergeCell ref="A2:C2"/>
    <mergeCell ref="A10:C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Intrinsic Value Model</vt:lpstr>
      <vt:lpstr>Income Statement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</dc:creator>
  <cp:lastModifiedBy>Mike G</cp:lastModifiedBy>
  <dcterms:created xsi:type="dcterms:W3CDTF">2020-08-27T03:18:03Z</dcterms:created>
  <dcterms:modified xsi:type="dcterms:W3CDTF">2020-09-02T01:52:24Z</dcterms:modified>
</cp:coreProperties>
</file>