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rl\Desktop\"/>
    </mc:Choice>
  </mc:AlternateContent>
  <xr:revisionPtr revIDLastSave="0" documentId="13_ncr:1_{2A3002F9-133F-4B96-A9E4-49D0995BF264}" xr6:coauthVersionLast="47" xr6:coauthVersionMax="47" xr10:uidLastSave="{00000000-0000-0000-0000-000000000000}"/>
  <bookViews>
    <workbookView xWindow="-110" yWindow="-110" windowWidth="19420" windowHeight="10420" xr2:uid="{BBE20CFD-5BD8-4FC2-B080-F9417587C112}"/>
  </bookViews>
  <sheets>
    <sheet name="Intrinsic Value Model" sheetId="5" r:id="rId1"/>
    <sheet name="Income Statement Projections" sheetId="4" r:id="rId2"/>
    <sheet name="Free Cash Flow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4" l="1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M13" i="4"/>
  <c r="L13" i="4"/>
  <c r="K13" i="4"/>
  <c r="J13" i="4"/>
  <c r="I13" i="4"/>
  <c r="H13" i="4"/>
  <c r="G13" i="4"/>
  <c r="F13" i="4"/>
  <c r="E13" i="4"/>
  <c r="D13" i="4"/>
  <c r="C13" i="4"/>
  <c r="B13" i="4"/>
  <c r="M6" i="4"/>
  <c r="L6" i="4"/>
  <c r="K6" i="4"/>
  <c r="J6" i="4"/>
  <c r="I6" i="4"/>
  <c r="H6" i="4"/>
  <c r="G6" i="4"/>
  <c r="F6" i="4"/>
  <c r="E6" i="4"/>
  <c r="D6" i="4"/>
  <c r="C6" i="4"/>
  <c r="B6" i="4"/>
  <c r="N4" i="4"/>
  <c r="O4" i="4" s="1"/>
  <c r="P4" i="4" s="1"/>
  <c r="Q4" i="4" s="1"/>
  <c r="R4" i="4" s="1"/>
  <c r="S4" i="4" s="1"/>
  <c r="N9" i="4"/>
  <c r="O9" i="4" s="1"/>
  <c r="P9" i="4" s="1"/>
  <c r="Q9" i="4" s="1"/>
  <c r="R9" i="4" s="1"/>
  <c r="S9" i="4" s="1"/>
  <c r="N3" i="4"/>
  <c r="O3" i="4" s="1"/>
  <c r="P3" i="4" s="1"/>
  <c r="Q3" i="4" s="1"/>
  <c r="R3" i="4" s="1"/>
  <c r="S3" i="4" s="1"/>
  <c r="C7" i="5"/>
  <c r="D7" i="5" s="1"/>
  <c r="E7" i="5" s="1"/>
  <c r="G5" i="6"/>
  <c r="F5" i="6"/>
  <c r="E5" i="6"/>
  <c r="D5" i="6"/>
  <c r="C5" i="6"/>
  <c r="B5" i="6"/>
  <c r="G8" i="5"/>
  <c r="B16" i="5" s="1"/>
  <c r="F8" i="5"/>
  <c r="E8" i="5"/>
  <c r="D8" i="5"/>
  <c r="C8" i="5"/>
  <c r="N11" i="4" l="1"/>
  <c r="O5" i="4"/>
  <c r="O6" i="4" s="1"/>
  <c r="N5" i="4"/>
  <c r="O11" i="4"/>
  <c r="E9" i="5"/>
  <c r="F7" i="5"/>
  <c r="G7" i="5" s="1"/>
  <c r="H7" i="5" s="1"/>
  <c r="B13" i="5" s="1"/>
  <c r="D9" i="5"/>
  <c r="C9" i="5"/>
  <c r="N12" i="4" l="1"/>
  <c r="N6" i="4"/>
  <c r="O12" i="4"/>
  <c r="P11" i="4"/>
  <c r="P5" i="4"/>
  <c r="P6" i="4" s="1"/>
  <c r="Q5" i="4"/>
  <c r="Q6" i="4" s="1"/>
  <c r="B15" i="5"/>
  <c r="B17" i="5" s="1"/>
  <c r="G9" i="5"/>
  <c r="F9" i="5"/>
  <c r="N15" i="4" l="1"/>
  <c r="N13" i="4"/>
  <c r="O15" i="4"/>
  <c r="O13" i="4"/>
  <c r="Q11" i="4"/>
  <c r="Q12" i="4" s="1"/>
  <c r="P12" i="4"/>
  <c r="R5" i="4"/>
  <c r="R6" i="4" s="1"/>
  <c r="B11" i="5"/>
  <c r="B19" i="5" s="1"/>
  <c r="B23" i="5" s="1"/>
  <c r="P15" i="4" l="1"/>
  <c r="P17" i="4" s="1"/>
  <c r="P19" i="4" s="1"/>
  <c r="P21" i="4" s="1"/>
  <c r="P13" i="4"/>
  <c r="O17" i="4"/>
  <c r="O19" i="4" s="1"/>
  <c r="O21" i="4" s="1"/>
  <c r="Q15" i="4"/>
  <c r="Q13" i="4"/>
  <c r="N17" i="4"/>
  <c r="N19" i="4" s="1"/>
  <c r="N21" i="4" s="1"/>
  <c r="R11" i="4"/>
  <c r="R12" i="4" s="1"/>
  <c r="S11" i="4"/>
  <c r="S5" i="4"/>
  <c r="S6" i="4" s="1"/>
  <c r="R15" i="4" l="1"/>
  <c r="R13" i="4"/>
  <c r="Q17" i="4"/>
  <c r="Q19" i="4" s="1"/>
  <c r="Q21" i="4" s="1"/>
  <c r="S12" i="4"/>
  <c r="S15" i="4" l="1"/>
  <c r="S17" i="4" s="1"/>
  <c r="S19" i="4" s="1"/>
  <c r="S21" i="4" s="1"/>
  <c r="S13" i="4"/>
  <c r="R17" i="4"/>
  <c r="R19" i="4" s="1"/>
  <c r="R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G</author>
  </authors>
  <commentList>
    <comment ref="N10" authorId="0" shapeId="0" xr:uid="{689CD301-7CE2-43A9-9B57-F6FB7120BB78}">
      <text>
        <r>
          <rPr>
            <b/>
            <sz val="9"/>
            <color indexed="81"/>
            <rFont val="Tahoma"/>
            <charset val="1"/>
          </rPr>
          <t>Mike G:</t>
        </r>
        <r>
          <rPr>
            <sz val="9"/>
            <color indexed="81"/>
            <rFont val="Tahoma"/>
            <charset val="1"/>
          </rPr>
          <t xml:space="preserve">
5 year average of 2016-2020</t>
        </r>
      </text>
    </comment>
    <comment ref="N16" authorId="0" shapeId="0" xr:uid="{EE895D82-E817-4EB2-A58B-E2037952185A}">
      <text>
        <r>
          <rPr>
            <b/>
            <sz val="9"/>
            <color indexed="81"/>
            <rFont val="Tahoma"/>
            <charset val="1"/>
          </rPr>
          <t>Mike G:</t>
        </r>
        <r>
          <rPr>
            <sz val="9"/>
            <color indexed="81"/>
            <rFont val="Tahoma"/>
            <charset val="1"/>
          </rPr>
          <t xml:space="preserve">
5 year average of 2016-2020</t>
        </r>
      </text>
    </comment>
    <comment ref="N20" authorId="0" shapeId="0" xr:uid="{A377D8A6-1AD9-4C48-A9A7-6CA519D4D7C6}">
      <text>
        <r>
          <rPr>
            <b/>
            <sz val="9"/>
            <color indexed="81"/>
            <rFont val="Tahoma"/>
            <charset val="1"/>
          </rPr>
          <t>Mike G:</t>
        </r>
        <r>
          <rPr>
            <sz val="9"/>
            <color indexed="81"/>
            <rFont val="Tahoma"/>
            <charset val="1"/>
          </rPr>
          <t xml:space="preserve">
5 year average from 2016-2020</t>
        </r>
      </text>
    </comment>
  </commentList>
</comments>
</file>

<file path=xl/sharedStrings.xml><?xml version="1.0" encoding="utf-8"?>
<sst xmlns="http://schemas.openxmlformats.org/spreadsheetml/2006/main" count="39" uniqueCount="35">
  <si>
    <t>TTM</t>
  </si>
  <si>
    <t>Net Interest Income</t>
  </si>
  <si>
    <t>Pre-Tax Income</t>
  </si>
  <si>
    <t>Net Income</t>
  </si>
  <si>
    <t>Growth</t>
  </si>
  <si>
    <t>Required return</t>
  </si>
  <si>
    <t>Terminal Growth</t>
  </si>
  <si>
    <t>Terminal Value</t>
  </si>
  <si>
    <t>Discount Rates</t>
  </si>
  <si>
    <t>Discounted FCF</t>
  </si>
  <si>
    <t>Sum of Discounted FCF</t>
  </si>
  <si>
    <t>FCF in 2025</t>
  </si>
  <si>
    <t>Multiple</t>
  </si>
  <si>
    <t>Discount Rate</t>
  </si>
  <si>
    <t>Discounted Terminal Value</t>
  </si>
  <si>
    <t>Terminal Value Plus Total Disc cash flows</t>
  </si>
  <si>
    <t>Shares Outstanding</t>
  </si>
  <si>
    <t>Value Per share</t>
  </si>
  <si>
    <t>*All data except per share and percentages are in millions</t>
  </si>
  <si>
    <t>Cash from Operations</t>
  </si>
  <si>
    <t>Capital Expenditure</t>
  </si>
  <si>
    <t>Revenue</t>
  </si>
  <si>
    <t>Cost of Goods Sold</t>
  </si>
  <si>
    <t>Gross Profit</t>
  </si>
  <si>
    <t>Operating Expenses</t>
  </si>
  <si>
    <t>Sales, General, &amp; Administrative</t>
  </si>
  <si>
    <t>Other Operating Expense</t>
  </si>
  <si>
    <t>Total Operating Expenses</t>
  </si>
  <si>
    <t>Operating Profit</t>
  </si>
  <si>
    <t>Other Non-Operating Income</t>
  </si>
  <si>
    <t>Income Tax</t>
  </si>
  <si>
    <t>Minority Interest</t>
  </si>
  <si>
    <t>Net Income Margin</t>
  </si>
  <si>
    <t>Operating Margin</t>
  </si>
  <si>
    <t>Gross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</si>
</sst>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2"/>
      <color rgb="FF333333"/>
      <name val="Verdana"/>
      <family val="2"/>
    </font>
    <font>
      <sz val="12"/>
      <color rgb="FF333333"/>
      <name val="Verdana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2"/>
      <color rgb="FF333333"/>
      <name val="Verdana"/>
      <family val="2"/>
    </font>
    <font>
      <i/>
      <sz val="12"/>
      <color rgb="FF3333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2E5E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rgb="FFE8E8E8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E8E8E8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3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0" fontId="1" fillId="4" borderId="0" xfId="0" applyFont="1" applyFill="1" applyAlignment="1">
      <alignment horizontal="left" vertical="center" wrapText="1"/>
    </xf>
    <xf numFmtId="0" fontId="0" fillId="0" borderId="5" xfId="0" applyBorder="1"/>
    <xf numFmtId="164" fontId="0" fillId="0" borderId="5" xfId="3" applyNumberFormat="1" applyFont="1" applyBorder="1"/>
    <xf numFmtId="9" fontId="0" fillId="0" borderId="5" xfId="3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44" fontId="0" fillId="0" borderId="0" xfId="2" applyFont="1" applyBorder="1"/>
    <xf numFmtId="44" fontId="0" fillId="0" borderId="11" xfId="2" applyFont="1" applyBorder="1"/>
    <xf numFmtId="0" fontId="0" fillId="0" borderId="10" xfId="0" applyBorder="1"/>
    <xf numFmtId="2" fontId="0" fillId="0" borderId="12" xfId="0" applyNumberFormat="1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44" fontId="0" fillId="5" borderId="12" xfId="0" applyNumberFormat="1" applyFill="1" applyBorder="1"/>
    <xf numFmtId="0" fontId="0" fillId="0" borderId="7" xfId="0" applyBorder="1"/>
    <xf numFmtId="0" fontId="0" fillId="5" borderId="0" xfId="0" applyFill="1" applyAlignment="1">
      <alignment wrapText="1"/>
    </xf>
    <xf numFmtId="44" fontId="0" fillId="5" borderId="0" xfId="0" applyNumberFormat="1" applyFill="1"/>
    <xf numFmtId="44" fontId="0" fillId="0" borderId="0" xfId="0" applyNumberFormat="1"/>
    <xf numFmtId="0" fontId="0" fillId="5" borderId="0" xfId="0" applyFill="1"/>
    <xf numFmtId="0" fontId="0" fillId="5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 applyAlignment="1">
      <alignment horizontal="center"/>
    </xf>
    <xf numFmtId="44" fontId="0" fillId="5" borderId="0" xfId="0" applyNumberFormat="1" applyFill="1" applyAlignment="1">
      <alignment horizontal="center"/>
    </xf>
    <xf numFmtId="4" fontId="0" fillId="0" borderId="0" xfId="0" applyNumberFormat="1"/>
    <xf numFmtId="0" fontId="5" fillId="2" borderId="0" xfId="0" applyFont="1" applyFill="1"/>
    <xf numFmtId="0" fontId="5" fillId="0" borderId="0" xfId="0" applyFont="1"/>
    <xf numFmtId="3" fontId="2" fillId="3" borderId="0" xfId="0" applyNumberFormat="1" applyFont="1" applyFill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5" borderId="0" xfId="0" applyNumberFormat="1" applyFont="1" applyFill="1" applyAlignment="1">
      <alignment horizontal="right" vertical="top" wrapText="1"/>
    </xf>
    <xf numFmtId="3" fontId="2" fillId="5" borderId="1" xfId="0" applyNumberFormat="1" applyFont="1" applyFill="1" applyBorder="1" applyAlignment="1">
      <alignment horizontal="right" vertical="top" wrapText="1"/>
    </xf>
    <xf numFmtId="3" fontId="1" fillId="5" borderId="2" xfId="0" applyNumberFormat="1" applyFont="1" applyFill="1" applyBorder="1" applyAlignment="1">
      <alignment horizontal="right" vertical="top" wrapText="1"/>
    </xf>
    <xf numFmtId="0" fontId="2" fillId="5" borderId="0" xfId="0" applyFont="1" applyFill="1" applyAlignment="1">
      <alignment vertical="center" wrapText="1"/>
    </xf>
    <xf numFmtId="0" fontId="2" fillId="5" borderId="1" xfId="0" applyFont="1" applyFill="1" applyBorder="1" applyAlignment="1">
      <alignment horizontal="right" vertical="top" wrapText="1"/>
    </xf>
    <xf numFmtId="4" fontId="0" fillId="0" borderId="5" xfId="0" applyNumberFormat="1" applyBorder="1"/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/>
    <xf numFmtId="0" fontId="1" fillId="3" borderId="11" xfId="0" applyFont="1" applyFill="1" applyBorder="1" applyAlignment="1">
      <alignment horizontal="right" wrapText="1"/>
    </xf>
    <xf numFmtId="3" fontId="2" fillId="3" borderId="11" xfId="0" applyNumberFormat="1" applyFont="1" applyFill="1" applyBorder="1" applyAlignment="1">
      <alignment horizontal="right" vertical="top" wrapText="1"/>
    </xf>
    <xf numFmtId="3" fontId="2" fillId="3" borderId="18" xfId="0" applyNumberFormat="1" applyFont="1" applyFill="1" applyBorder="1" applyAlignment="1">
      <alignment horizontal="right" vertical="top" wrapText="1"/>
    </xf>
    <xf numFmtId="3" fontId="1" fillId="3" borderId="19" xfId="0" applyNumberFormat="1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right" vertical="top" wrapText="1"/>
    </xf>
    <xf numFmtId="3" fontId="1" fillId="2" borderId="19" xfId="0" applyNumberFormat="1" applyFont="1" applyFill="1" applyBorder="1" applyAlignment="1">
      <alignment horizontal="right" vertical="top" wrapText="1"/>
    </xf>
    <xf numFmtId="9" fontId="1" fillId="2" borderId="0" xfId="3" applyFont="1" applyFill="1" applyAlignment="1">
      <alignment horizontal="right" vertical="top" wrapText="1"/>
    </xf>
    <xf numFmtId="9" fontId="1" fillId="5" borderId="0" xfId="3" applyFont="1" applyFill="1" applyAlignment="1">
      <alignment horizontal="right" vertical="top" wrapText="1"/>
    </xf>
    <xf numFmtId="0" fontId="8" fillId="4" borderId="0" xfId="0" applyFont="1" applyFill="1" applyAlignment="1">
      <alignment horizontal="left" vertical="center" wrapText="1"/>
    </xf>
    <xf numFmtId="9" fontId="9" fillId="2" borderId="1" xfId="3" applyFont="1" applyFill="1" applyBorder="1" applyAlignment="1">
      <alignment horizontal="right" vertical="top" wrapText="1"/>
    </xf>
    <xf numFmtId="9" fontId="9" fillId="3" borderId="0" xfId="3" applyFont="1" applyFill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top" wrapText="1"/>
    </xf>
    <xf numFmtId="9" fontId="9" fillId="3" borderId="11" xfId="3" applyFont="1" applyFill="1" applyBorder="1" applyAlignment="1">
      <alignment horizontal="right" vertical="center" wrapText="1"/>
    </xf>
    <xf numFmtId="9" fontId="9" fillId="5" borderId="0" xfId="3" applyFont="1" applyFill="1" applyAlignment="1">
      <alignment horizontal="right" vertical="center" wrapText="1"/>
    </xf>
    <xf numFmtId="9" fontId="9" fillId="3" borderId="0" xfId="3" applyFont="1" applyFill="1" applyBorder="1" applyAlignment="1">
      <alignment horizontal="right" vertical="top" wrapText="1"/>
    </xf>
    <xf numFmtId="9" fontId="9" fillId="3" borderId="11" xfId="3" applyFont="1" applyFill="1" applyBorder="1" applyAlignment="1">
      <alignment horizontal="right" vertical="top" wrapText="1"/>
    </xf>
    <xf numFmtId="9" fontId="9" fillId="5" borderId="0" xfId="3" applyFont="1" applyFill="1" applyBorder="1" applyAlignment="1">
      <alignment horizontal="righ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DEBC-D6DD-43FD-AA03-397439495F35}">
  <dimension ref="A1:H25"/>
  <sheetViews>
    <sheetView tabSelected="1" zoomScale="70" zoomScaleNormal="70" workbookViewId="0">
      <selection activeCell="K7" sqref="K7"/>
    </sheetView>
  </sheetViews>
  <sheetFormatPr defaultRowHeight="14.5" x14ac:dyDescent="0.35"/>
  <cols>
    <col min="1" max="1" width="13.81640625" bestFit="1" customWidth="1"/>
    <col min="2" max="2" width="15" bestFit="1" customWidth="1"/>
    <col min="3" max="3" width="10.08984375" bestFit="1" customWidth="1"/>
    <col min="4" max="7" width="11.08984375" bestFit="1" customWidth="1"/>
    <col min="8" max="8" width="13.36328125" bestFit="1" customWidth="1"/>
  </cols>
  <sheetData>
    <row r="1" spans="1:8" x14ac:dyDescent="0.35">
      <c r="A1" s="11" t="s">
        <v>4</v>
      </c>
      <c r="B1" s="12">
        <v>0.05</v>
      </c>
    </row>
    <row r="2" spans="1:8" x14ac:dyDescent="0.35">
      <c r="A2" s="11" t="s">
        <v>5</v>
      </c>
      <c r="B2" s="12">
        <v>0.1</v>
      </c>
    </row>
    <row r="3" spans="1:8" x14ac:dyDescent="0.35">
      <c r="A3" s="11" t="s">
        <v>6</v>
      </c>
      <c r="B3" s="13">
        <v>0.02</v>
      </c>
    </row>
    <row r="5" spans="1:8" x14ac:dyDescent="0.35">
      <c r="B5" s="14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59" t="s">
        <v>7</v>
      </c>
    </row>
    <row r="6" spans="1:8" x14ac:dyDescent="0.35">
      <c r="A6" s="16"/>
      <c r="B6" s="17" t="s">
        <v>0</v>
      </c>
      <c r="C6" s="17">
        <v>2021</v>
      </c>
      <c r="D6" s="17">
        <v>2022</v>
      </c>
      <c r="E6" s="17">
        <v>2023</v>
      </c>
      <c r="F6" s="17">
        <v>2024</v>
      </c>
      <c r="G6" s="17">
        <v>2025</v>
      </c>
      <c r="H6" s="58">
        <v>2026</v>
      </c>
    </row>
    <row r="7" spans="1:8" x14ac:dyDescent="0.35">
      <c r="A7" s="18" t="s">
        <v>3</v>
      </c>
      <c r="B7" s="19">
        <v>5763</v>
      </c>
      <c r="C7" s="19">
        <f>B7*(1+$B$1)^C5</f>
        <v>6051.1500000000005</v>
      </c>
      <c r="D7" s="19">
        <f>C7*(1+$B$1)^D5</f>
        <v>6671.3928750000005</v>
      </c>
      <c r="E7" s="19">
        <f>D7*(1+$B$1)^E5</f>
        <v>7722.9711769218766</v>
      </c>
      <c r="F7" s="19">
        <f>E7*(1+$B$1)^F5</f>
        <v>9387.3197341183968</v>
      </c>
      <c r="G7" s="19">
        <f>F7*(1+$B$1)^G5</f>
        <v>11980.863097947713</v>
      </c>
      <c r="H7" s="20">
        <f>G7*(1+B3)</f>
        <v>12220.480359906667</v>
      </c>
    </row>
    <row r="8" spans="1:8" x14ac:dyDescent="0.35">
      <c r="A8" s="21" t="s">
        <v>8</v>
      </c>
      <c r="C8" s="22">
        <f>1/((1+$B$2)^1)</f>
        <v>0.90909090909090906</v>
      </c>
      <c r="D8" s="22">
        <f>1/((1+$B$2)^2)</f>
        <v>0.82644628099173545</v>
      </c>
      <c r="E8" s="22">
        <f>1/((1+$B$2)^3)</f>
        <v>0.75131480090157754</v>
      </c>
      <c r="F8" s="22">
        <f>1/((1+$B$2)^4)</f>
        <v>0.68301345536507052</v>
      </c>
      <c r="G8" s="22">
        <f>1/((1+$B$2)^5)</f>
        <v>0.62092132305915493</v>
      </c>
      <c r="H8" s="23"/>
    </row>
    <row r="9" spans="1:8" x14ac:dyDescent="0.35">
      <c r="A9" s="24" t="s">
        <v>9</v>
      </c>
      <c r="B9" s="25"/>
      <c r="C9" s="26">
        <f>C7*C8</f>
        <v>5501.045454545455</v>
      </c>
      <c r="D9" s="26">
        <f>D7*D8</f>
        <v>5513.5478305785118</v>
      </c>
      <c r="E9" s="26">
        <f>E7*E8</f>
        <v>5802.3825521576819</v>
      </c>
      <c r="F9" s="26">
        <f>F7*F8</f>
        <v>6411.6656882169209</v>
      </c>
      <c r="G9" s="26">
        <f>G7*G8</f>
        <v>7439.1733661682993</v>
      </c>
      <c r="H9" s="27"/>
    </row>
    <row r="11" spans="1:8" ht="29" x14ac:dyDescent="0.35">
      <c r="A11" s="28" t="s">
        <v>10</v>
      </c>
      <c r="B11" s="29">
        <f>C9+D9+E9+F9+G9</f>
        <v>30667.814891666869</v>
      </c>
    </row>
    <row r="13" spans="1:8" x14ac:dyDescent="0.35">
      <c r="A13" t="s">
        <v>11</v>
      </c>
      <c r="B13" s="30">
        <f>H7</f>
        <v>12220.480359906667</v>
      </c>
    </row>
    <row r="14" spans="1:8" x14ac:dyDescent="0.35">
      <c r="A14" s="31" t="s">
        <v>12</v>
      </c>
      <c r="B14" s="32">
        <v>20</v>
      </c>
    </row>
    <row r="15" spans="1:8" x14ac:dyDescent="0.35">
      <c r="A15" t="s">
        <v>7</v>
      </c>
      <c r="B15" s="30">
        <f>B13*B14</f>
        <v>244409.60719813334</v>
      </c>
    </row>
    <row r="16" spans="1:8" x14ac:dyDescent="0.35">
      <c r="A16" t="s">
        <v>13</v>
      </c>
      <c r="B16" s="33">
        <f>G8</f>
        <v>0.62092132305915493</v>
      </c>
    </row>
    <row r="17" spans="1:6" ht="29" x14ac:dyDescent="0.35">
      <c r="A17" s="28" t="s">
        <v>14</v>
      </c>
      <c r="B17" s="29">
        <f>B15*B16</f>
        <v>151759.1366698333</v>
      </c>
    </row>
    <row r="19" spans="1:6" ht="43.5" x14ac:dyDescent="0.35">
      <c r="A19" s="28" t="s">
        <v>15</v>
      </c>
      <c r="B19" s="29">
        <f>B11+B17</f>
        <v>182426.95156150017</v>
      </c>
    </row>
    <row r="21" spans="1:6" ht="29" x14ac:dyDescent="0.35">
      <c r="A21" s="34" t="s">
        <v>16</v>
      </c>
      <c r="B21" s="35">
        <v>2019</v>
      </c>
    </row>
    <row r="23" spans="1:6" x14ac:dyDescent="0.35">
      <c r="A23" s="31" t="s">
        <v>17</v>
      </c>
      <c r="B23" s="36">
        <f>B19/B21</f>
        <v>90.355102308816328</v>
      </c>
    </row>
    <row r="25" spans="1:6" x14ac:dyDescent="0.35">
      <c r="A25" s="78" t="s">
        <v>18</v>
      </c>
      <c r="B25" s="79"/>
      <c r="C25" s="79"/>
      <c r="D25" s="79"/>
      <c r="E25" s="79"/>
      <c r="F25" s="80"/>
    </row>
  </sheetData>
  <mergeCells count="1">
    <mergeCell ref="A25:F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15C7-3E2C-4C07-BB25-EE60400D1862}">
  <dimension ref="A1:S22"/>
  <sheetViews>
    <sheetView zoomScale="70" zoomScaleNormal="70" workbookViewId="0">
      <pane ySplit="1" topLeftCell="A2" activePane="bottomLeft" state="frozen"/>
      <selection pane="bottomLeft" activeCell="A7" sqref="A7"/>
    </sheetView>
  </sheetViews>
  <sheetFormatPr defaultRowHeight="14.5" x14ac:dyDescent="0.35"/>
  <cols>
    <col min="1" max="1" width="31.81640625" customWidth="1"/>
    <col min="2" max="2" width="16.453125" bestFit="1" customWidth="1"/>
    <col min="3" max="4" width="11.1796875" bestFit="1" customWidth="1"/>
    <col min="5" max="6" width="11.453125" bestFit="1" customWidth="1"/>
    <col min="7" max="7" width="9.7265625" bestFit="1" customWidth="1"/>
    <col min="8" max="8" width="11.453125" bestFit="1" customWidth="1"/>
    <col min="9" max="12" width="11.1796875" bestFit="1" customWidth="1"/>
    <col min="13" max="13" width="12.81640625" bestFit="1" customWidth="1"/>
    <col min="14" max="14" width="10.453125" bestFit="1" customWidth="1"/>
    <col min="15" max="15" width="9.7265625" bestFit="1" customWidth="1"/>
    <col min="16" max="16" width="10.453125" bestFit="1" customWidth="1"/>
    <col min="17" max="18" width="9.7265625" bestFit="1" customWidth="1"/>
    <col min="19" max="19" width="10.453125" bestFit="1" customWidth="1"/>
  </cols>
  <sheetData>
    <row r="1" spans="1:19" ht="16" thickBot="1" x14ac:dyDescent="0.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9" ht="15" customHeight="1" x14ac:dyDescent="0.35">
      <c r="A2" s="39"/>
      <c r="B2" s="1">
        <v>2011</v>
      </c>
      <c r="C2" s="2">
        <v>2012</v>
      </c>
      <c r="D2" s="1">
        <v>2013</v>
      </c>
      <c r="E2" s="2">
        <v>2014</v>
      </c>
      <c r="F2" s="1">
        <v>2015</v>
      </c>
      <c r="G2" s="2">
        <v>2016</v>
      </c>
      <c r="H2" s="1">
        <v>2017</v>
      </c>
      <c r="I2" s="2">
        <v>2018</v>
      </c>
      <c r="J2" s="1">
        <v>2019</v>
      </c>
      <c r="K2" s="2">
        <v>2020</v>
      </c>
      <c r="L2" s="60" t="s">
        <v>0</v>
      </c>
      <c r="M2" s="8">
        <v>2020</v>
      </c>
      <c r="N2" s="8">
        <v>2021</v>
      </c>
      <c r="O2" s="8">
        <v>2022</v>
      </c>
      <c r="P2" s="8">
        <v>2023</v>
      </c>
      <c r="Q2" s="8">
        <v>2024</v>
      </c>
      <c r="R2" s="8">
        <v>2025</v>
      </c>
      <c r="S2" s="9">
        <v>2026</v>
      </c>
    </row>
    <row r="3" spans="1:19" ht="15.5" thickBot="1" x14ac:dyDescent="0.4">
      <c r="A3" s="3" t="s">
        <v>21</v>
      </c>
      <c r="B3" s="40">
        <v>39046</v>
      </c>
      <c r="C3" s="41">
        <v>39758</v>
      </c>
      <c r="D3" s="40">
        <v>43195</v>
      </c>
      <c r="E3" s="41">
        <v>47063</v>
      </c>
      <c r="F3" s="40">
        <v>43064</v>
      </c>
      <c r="G3" s="41">
        <v>45517</v>
      </c>
      <c r="H3" s="40">
        <v>54859</v>
      </c>
      <c r="I3" s="41">
        <v>53041</v>
      </c>
      <c r="J3" s="40">
        <v>52329</v>
      </c>
      <c r="K3" s="41">
        <v>46881</v>
      </c>
      <c r="L3" s="61">
        <v>51415</v>
      </c>
      <c r="M3" s="50">
        <v>46881</v>
      </c>
      <c r="N3" s="50">
        <f>M3*1.05</f>
        <v>49225.05</v>
      </c>
      <c r="O3" s="50">
        <f>N3*1.05</f>
        <v>51686.302500000005</v>
      </c>
      <c r="P3" s="50">
        <f>O3*1.05</f>
        <v>54270.617625000006</v>
      </c>
      <c r="Q3" s="50">
        <f>P3*1.05</f>
        <v>56984.148506250007</v>
      </c>
      <c r="R3" s="50">
        <f>Q3*1.05</f>
        <v>59833.35593156251</v>
      </c>
      <c r="S3" s="50">
        <f>R3*1.02</f>
        <v>61030.023050193762</v>
      </c>
    </row>
    <row r="4" spans="1:19" ht="15.5" thickBot="1" x14ac:dyDescent="0.4">
      <c r="A4" s="4" t="s">
        <v>22</v>
      </c>
      <c r="B4" s="42">
        <v>16610</v>
      </c>
      <c r="C4" s="43">
        <v>16422</v>
      </c>
      <c r="D4" s="42">
        <v>17594</v>
      </c>
      <c r="E4" s="43">
        <v>18756</v>
      </c>
      <c r="F4" s="42">
        <v>17137</v>
      </c>
      <c r="G4" s="43">
        <v>17803</v>
      </c>
      <c r="H4" s="42">
        <v>20975</v>
      </c>
      <c r="I4" s="43">
        <v>19933</v>
      </c>
      <c r="J4" s="42">
        <v>20362</v>
      </c>
      <c r="K4" s="43">
        <v>19634</v>
      </c>
      <c r="L4" s="62">
        <v>21501</v>
      </c>
      <c r="M4" s="51">
        <v>19634</v>
      </c>
      <c r="N4" s="51">
        <f t="shared" ref="N4:S4" si="0">M4*1.025</f>
        <v>20124.849999999999</v>
      </c>
      <c r="O4" s="51">
        <f t="shared" si="0"/>
        <v>20627.971249999995</v>
      </c>
      <c r="P4" s="51">
        <f t="shared" si="0"/>
        <v>21143.670531249994</v>
      </c>
      <c r="Q4" s="51">
        <f t="shared" si="0"/>
        <v>21672.262294531243</v>
      </c>
      <c r="R4" s="51">
        <f t="shared" si="0"/>
        <v>22214.068851894521</v>
      </c>
      <c r="S4" s="51">
        <f t="shared" si="0"/>
        <v>22769.420573191881</v>
      </c>
    </row>
    <row r="5" spans="1:19" ht="15.5" thickBot="1" x14ac:dyDescent="0.4">
      <c r="A5" s="7" t="s">
        <v>23</v>
      </c>
      <c r="B5" s="44">
        <v>22436</v>
      </c>
      <c r="C5" s="45">
        <v>23336</v>
      </c>
      <c r="D5" s="44">
        <v>25601</v>
      </c>
      <c r="E5" s="45">
        <v>28307</v>
      </c>
      <c r="F5" s="44">
        <v>25927</v>
      </c>
      <c r="G5" s="45">
        <v>27714</v>
      </c>
      <c r="H5" s="44">
        <v>33884</v>
      </c>
      <c r="I5" s="45">
        <v>33108</v>
      </c>
      <c r="J5" s="44">
        <v>31967</v>
      </c>
      <c r="K5" s="45">
        <v>27247</v>
      </c>
      <c r="L5" s="63">
        <v>29914</v>
      </c>
      <c r="M5" s="52">
        <v>27247</v>
      </c>
      <c r="N5" s="52">
        <f>N3-N4</f>
        <v>29100.200000000004</v>
      </c>
      <c r="O5" s="52">
        <f t="shared" ref="O5:S5" si="1">O3-O4</f>
        <v>31058.33125000001</v>
      </c>
      <c r="P5" s="52">
        <f t="shared" si="1"/>
        <v>33126.947093750015</v>
      </c>
      <c r="Q5" s="52">
        <f t="shared" si="1"/>
        <v>35311.886211718767</v>
      </c>
      <c r="R5" s="52">
        <f t="shared" si="1"/>
        <v>37619.287079667993</v>
      </c>
      <c r="S5" s="52">
        <f t="shared" si="1"/>
        <v>38260.602477001885</v>
      </c>
    </row>
    <row r="6" spans="1:19" ht="15" x14ac:dyDescent="0.35">
      <c r="A6" s="69" t="s">
        <v>34</v>
      </c>
      <c r="B6" s="71">
        <f>B5/B3</f>
        <v>0.57460431286175284</v>
      </c>
      <c r="C6" s="72">
        <f t="shared" ref="C6:S6" si="2">C5/C3</f>
        <v>0.58695105387594948</v>
      </c>
      <c r="D6" s="71">
        <f t="shared" si="2"/>
        <v>0.59268433846510016</v>
      </c>
      <c r="E6" s="72">
        <f t="shared" si="2"/>
        <v>0.60147036950470645</v>
      </c>
      <c r="F6" s="71">
        <f t="shared" si="2"/>
        <v>0.6020574029351663</v>
      </c>
      <c r="G6" s="72">
        <f t="shared" si="2"/>
        <v>0.60887141068172335</v>
      </c>
      <c r="H6" s="71">
        <f t="shared" si="2"/>
        <v>0.61765617309830656</v>
      </c>
      <c r="I6" s="72">
        <f t="shared" si="2"/>
        <v>0.62419637638807712</v>
      </c>
      <c r="J6" s="71">
        <f t="shared" si="2"/>
        <v>0.61088497773701012</v>
      </c>
      <c r="K6" s="72">
        <f t="shared" si="2"/>
        <v>0.58119494038096453</v>
      </c>
      <c r="L6" s="73">
        <f t="shared" si="2"/>
        <v>0.58181464553145967</v>
      </c>
      <c r="M6" s="74">
        <f t="shared" si="2"/>
        <v>0.58119494038096453</v>
      </c>
      <c r="N6" s="74">
        <f t="shared" si="2"/>
        <v>0.59116648941951311</v>
      </c>
      <c r="O6" s="74">
        <f t="shared" si="2"/>
        <v>0.60090062062381044</v>
      </c>
      <c r="P6" s="74">
        <f t="shared" si="2"/>
        <v>0.61040298679943417</v>
      </c>
      <c r="Q6" s="74">
        <f t="shared" si="2"/>
        <v>0.61967910616135236</v>
      </c>
      <c r="R6" s="74">
        <f t="shared" si="2"/>
        <v>0.62873436553846307</v>
      </c>
      <c r="S6" s="74">
        <f t="shared" si="2"/>
        <v>0.6269144359577693</v>
      </c>
    </row>
    <row r="7" spans="1:19" ht="15" x14ac:dyDescent="0.35">
      <c r="A7" s="3"/>
      <c r="B7" s="5"/>
      <c r="C7" s="6"/>
      <c r="D7" s="5"/>
      <c r="E7" s="6"/>
      <c r="F7" s="5"/>
      <c r="G7" s="6"/>
      <c r="H7" s="5"/>
      <c r="I7" s="6"/>
      <c r="J7" s="5"/>
      <c r="K7" s="6"/>
      <c r="L7" s="64"/>
      <c r="M7" s="53"/>
      <c r="N7" s="53"/>
      <c r="O7" s="53"/>
      <c r="P7" s="53"/>
      <c r="Q7" s="53"/>
      <c r="R7" s="53"/>
      <c r="S7" s="53"/>
    </row>
    <row r="8" spans="1:19" ht="15" x14ac:dyDescent="0.35">
      <c r="A8" s="10" t="s">
        <v>24</v>
      </c>
      <c r="B8" s="46"/>
      <c r="C8" s="47"/>
      <c r="D8" s="46"/>
      <c r="E8" s="47"/>
      <c r="F8" s="46"/>
      <c r="G8" s="67"/>
      <c r="H8" s="5"/>
      <c r="I8" s="67"/>
      <c r="J8" s="5"/>
      <c r="K8" s="67"/>
      <c r="L8" s="64"/>
      <c r="M8" s="68"/>
      <c r="N8" s="68"/>
      <c r="O8" s="68"/>
      <c r="P8" s="68"/>
      <c r="Q8" s="68"/>
      <c r="R8" s="68"/>
      <c r="S8" s="68"/>
    </row>
    <row r="9" spans="1:19" ht="30.5" thickBot="1" x14ac:dyDescent="0.4">
      <c r="A9" s="3" t="s">
        <v>25</v>
      </c>
      <c r="B9" s="40">
        <v>10505</v>
      </c>
      <c r="C9" s="41">
        <v>11241</v>
      </c>
      <c r="D9" s="40">
        <v>12558</v>
      </c>
      <c r="E9" s="41">
        <v>14385</v>
      </c>
      <c r="F9" s="40">
        <v>13732</v>
      </c>
      <c r="G9" s="41">
        <v>15171</v>
      </c>
      <c r="H9" s="40">
        <v>17760</v>
      </c>
      <c r="I9" s="41">
        <v>16807</v>
      </c>
      <c r="J9" s="40">
        <v>16421</v>
      </c>
      <c r="K9" s="41">
        <v>15369</v>
      </c>
      <c r="L9" s="61">
        <v>16682</v>
      </c>
      <c r="M9" s="50">
        <v>15369</v>
      </c>
      <c r="N9" s="50">
        <f t="shared" ref="N9:S9" si="3">M9*1.02</f>
        <v>15676.380000000001</v>
      </c>
      <c r="O9" s="50">
        <f t="shared" si="3"/>
        <v>15989.9076</v>
      </c>
      <c r="P9" s="50">
        <f t="shared" si="3"/>
        <v>16309.705752</v>
      </c>
      <c r="Q9" s="50">
        <f t="shared" si="3"/>
        <v>16635.89986704</v>
      </c>
      <c r="R9" s="50">
        <f t="shared" si="3"/>
        <v>16968.617864380802</v>
      </c>
      <c r="S9" s="50">
        <f t="shared" si="3"/>
        <v>17307.990221668417</v>
      </c>
    </row>
    <row r="10" spans="1:19" ht="30.5" thickBot="1" x14ac:dyDescent="0.4">
      <c r="A10" s="4" t="s">
        <v>26</v>
      </c>
      <c r="B10" s="48">
        <v>-614</v>
      </c>
      <c r="C10" s="49">
        <v>-587</v>
      </c>
      <c r="D10" s="42">
        <v>-1081</v>
      </c>
      <c r="E10" s="43">
        <v>-1347</v>
      </c>
      <c r="F10" s="48">
        <v>-951</v>
      </c>
      <c r="G10" s="49">
        <v>-625</v>
      </c>
      <c r="H10" s="48">
        <v>-738</v>
      </c>
      <c r="I10" s="49">
        <v>-495</v>
      </c>
      <c r="J10" s="48">
        <v>-623</v>
      </c>
      <c r="K10" s="49">
        <v>-204</v>
      </c>
      <c r="L10" s="65">
        <v>-485</v>
      </c>
      <c r="M10" s="54">
        <v>-204</v>
      </c>
      <c r="N10" s="54">
        <v>-537</v>
      </c>
      <c r="O10" s="54">
        <v>-537</v>
      </c>
      <c r="P10" s="54">
        <v>-537</v>
      </c>
      <c r="Q10" s="54">
        <v>-537</v>
      </c>
      <c r="R10" s="54">
        <v>-537</v>
      </c>
      <c r="S10" s="54">
        <v>-537</v>
      </c>
    </row>
    <row r="11" spans="1:19" ht="35.5" customHeight="1" thickBot="1" x14ac:dyDescent="0.4">
      <c r="A11" s="4" t="s">
        <v>27</v>
      </c>
      <c r="B11" s="42">
        <v>9891</v>
      </c>
      <c r="C11" s="43">
        <v>10654</v>
      </c>
      <c r="D11" s="42">
        <v>11477</v>
      </c>
      <c r="E11" s="43">
        <v>13038</v>
      </c>
      <c r="F11" s="42">
        <v>12781</v>
      </c>
      <c r="G11" s="43">
        <v>14546</v>
      </c>
      <c r="H11" s="42">
        <v>17022</v>
      </c>
      <c r="I11" s="43">
        <v>16312</v>
      </c>
      <c r="J11" s="42">
        <v>15798</v>
      </c>
      <c r="K11" s="43">
        <v>15165</v>
      </c>
      <c r="L11" s="62">
        <v>16197</v>
      </c>
      <c r="M11" s="51">
        <v>15165</v>
      </c>
      <c r="N11" s="51">
        <f t="shared" ref="N11:S11" si="4">SUM(N9:N10)</f>
        <v>15139.380000000001</v>
      </c>
      <c r="O11" s="51">
        <f t="shared" si="4"/>
        <v>15452.9076</v>
      </c>
      <c r="P11" s="51">
        <f t="shared" si="4"/>
        <v>15772.705752</v>
      </c>
      <c r="Q11" s="51">
        <f t="shared" si="4"/>
        <v>16098.89986704</v>
      </c>
      <c r="R11" s="51">
        <f t="shared" si="4"/>
        <v>16431.617864380802</v>
      </c>
      <c r="S11" s="51">
        <f t="shared" si="4"/>
        <v>16770.990221668417</v>
      </c>
    </row>
    <row r="12" spans="1:19" ht="15.5" thickBot="1" x14ac:dyDescent="0.4">
      <c r="A12" s="7" t="s">
        <v>28</v>
      </c>
      <c r="B12" s="44">
        <v>12545</v>
      </c>
      <c r="C12" s="45">
        <v>12682</v>
      </c>
      <c r="D12" s="44">
        <v>14124</v>
      </c>
      <c r="E12" s="45">
        <v>15269</v>
      </c>
      <c r="F12" s="44">
        <v>13146</v>
      </c>
      <c r="G12" s="45">
        <v>13168</v>
      </c>
      <c r="H12" s="44">
        <v>16862</v>
      </c>
      <c r="I12" s="45">
        <v>16796</v>
      </c>
      <c r="J12" s="44">
        <v>16169</v>
      </c>
      <c r="K12" s="45">
        <v>12082</v>
      </c>
      <c r="L12" s="63">
        <v>13717</v>
      </c>
      <c r="M12" s="52">
        <v>12082</v>
      </c>
      <c r="N12" s="52">
        <f>N5-N11</f>
        <v>13960.820000000003</v>
      </c>
      <c r="O12" s="52">
        <f t="shared" ref="O12:S12" si="5">O5-O11</f>
        <v>15605.42365000001</v>
      </c>
      <c r="P12" s="52">
        <f t="shared" si="5"/>
        <v>17354.241341750014</v>
      </c>
      <c r="Q12" s="52">
        <f t="shared" si="5"/>
        <v>19212.986344678768</v>
      </c>
      <c r="R12" s="52">
        <f t="shared" si="5"/>
        <v>21187.669215287191</v>
      </c>
      <c r="S12" s="52">
        <f t="shared" si="5"/>
        <v>21489.612255333468</v>
      </c>
    </row>
    <row r="13" spans="1:19" ht="15.5" thickBot="1" x14ac:dyDescent="0.4">
      <c r="A13" s="69" t="s">
        <v>33</v>
      </c>
      <c r="B13" s="75">
        <f t="shared" ref="B13:S13" si="6">B12/B3</f>
        <v>0.32128771192951905</v>
      </c>
      <c r="C13" s="70">
        <f t="shared" si="6"/>
        <v>0.31897982795915286</v>
      </c>
      <c r="D13" s="75">
        <f t="shared" si="6"/>
        <v>0.32698228961685383</v>
      </c>
      <c r="E13" s="70">
        <f t="shared" si="6"/>
        <v>0.32443745617576442</v>
      </c>
      <c r="F13" s="75">
        <f t="shared" si="6"/>
        <v>0.3052665799739922</v>
      </c>
      <c r="G13" s="70">
        <f t="shared" si="6"/>
        <v>0.28929850385570227</v>
      </c>
      <c r="H13" s="75">
        <f t="shared" si="6"/>
        <v>0.30736980258480834</v>
      </c>
      <c r="I13" s="70">
        <f t="shared" si="6"/>
        <v>0.31666069644237477</v>
      </c>
      <c r="J13" s="75">
        <f t="shared" si="6"/>
        <v>0.30898736838082136</v>
      </c>
      <c r="K13" s="70">
        <f t="shared" si="6"/>
        <v>0.25771634564109125</v>
      </c>
      <c r="L13" s="76">
        <f t="shared" si="6"/>
        <v>0.26678984732082078</v>
      </c>
      <c r="M13" s="77">
        <f t="shared" si="6"/>
        <v>0.25771634564109125</v>
      </c>
      <c r="N13" s="77">
        <f t="shared" si="6"/>
        <v>0.28361210399989439</v>
      </c>
      <c r="O13" s="77">
        <f t="shared" si="6"/>
        <v>0.30192571136230933</v>
      </c>
      <c r="P13" s="77">
        <f t="shared" si="6"/>
        <v>0.31977232066280564</v>
      </c>
      <c r="Q13" s="77">
        <f t="shared" si="6"/>
        <v>0.3371636998764927</v>
      </c>
      <c r="R13" s="77">
        <f t="shared" si="6"/>
        <v>0.35411132946515123</v>
      </c>
      <c r="S13" s="77">
        <f t="shared" si="6"/>
        <v>0.35211542092421416</v>
      </c>
    </row>
    <row r="14" spans="1:19" ht="15.5" thickBot="1" x14ac:dyDescent="0.4">
      <c r="A14" s="3"/>
      <c r="B14" s="5"/>
      <c r="C14" s="43"/>
      <c r="D14" s="5"/>
      <c r="E14" s="43"/>
      <c r="F14" s="5"/>
      <c r="G14" s="43"/>
      <c r="H14" s="5"/>
      <c r="I14" s="43"/>
      <c r="J14" s="5"/>
      <c r="K14" s="43"/>
      <c r="L14" s="64"/>
      <c r="M14" s="53"/>
      <c r="N14" s="53"/>
      <c r="O14" s="53"/>
      <c r="P14" s="53"/>
      <c r="Q14" s="53"/>
      <c r="R14" s="53"/>
      <c r="S14" s="53"/>
    </row>
    <row r="15" spans="1:19" ht="15.5" thickBot="1" x14ac:dyDescent="0.4">
      <c r="A15" s="4" t="s">
        <v>1</v>
      </c>
      <c r="B15" s="42">
        <v>-3297</v>
      </c>
      <c r="C15" s="43">
        <v>-2325</v>
      </c>
      <c r="D15" s="42">
        <v>-2047</v>
      </c>
      <c r="E15" s="43">
        <v>-1877</v>
      </c>
      <c r="F15" s="42">
        <v>-2169</v>
      </c>
      <c r="G15" s="43">
        <v>-7676</v>
      </c>
      <c r="H15" s="42">
        <v>-5579</v>
      </c>
      <c r="I15" s="43">
        <v>-8826</v>
      </c>
      <c r="J15" s="42">
        <v>-3720</v>
      </c>
      <c r="K15" s="43">
        <v>-5924</v>
      </c>
      <c r="L15" s="62">
        <v>-6063</v>
      </c>
      <c r="M15" s="51">
        <v>-5924</v>
      </c>
      <c r="N15" s="51">
        <f>(N12*0.25)*-1</f>
        <v>-3490.2050000000008</v>
      </c>
      <c r="O15" s="51">
        <f>(O12*0.25)*-1</f>
        <v>-3901.3559125000024</v>
      </c>
      <c r="P15" s="51">
        <f>(P12*0.2)*-1</f>
        <v>-3470.8482683500029</v>
      </c>
      <c r="Q15" s="51">
        <f>(Q12*0.2)*-1</f>
        <v>-3842.5972689357536</v>
      </c>
      <c r="R15" s="51">
        <f>(R12*0.2)*-1</f>
        <v>-4237.5338430574384</v>
      </c>
      <c r="S15" s="51">
        <f>(S12*0.175)*-1</f>
        <v>-3760.6821446833565</v>
      </c>
    </row>
    <row r="16" spans="1:19" ht="30.5" thickBot="1" x14ac:dyDescent="0.4">
      <c r="A16" s="4" t="s">
        <v>29</v>
      </c>
      <c r="B16" s="48">
        <v>437</v>
      </c>
      <c r="C16" s="49">
        <v>648</v>
      </c>
      <c r="D16" s="42">
        <v>6457</v>
      </c>
      <c r="E16" s="49">
        <v>409</v>
      </c>
      <c r="F16" s="42">
        <v>1484</v>
      </c>
      <c r="G16" s="43">
        <v>-1158</v>
      </c>
      <c r="H16" s="42">
        <v>-1019</v>
      </c>
      <c r="I16" s="49">
        <v>-229</v>
      </c>
      <c r="J16" s="48">
        <v>327</v>
      </c>
      <c r="K16" s="43">
        <v>-4079</v>
      </c>
      <c r="L16" s="62">
        <v>1982</v>
      </c>
      <c r="M16" s="51">
        <v>-4079</v>
      </c>
      <c r="N16" s="51">
        <v>-1232</v>
      </c>
      <c r="O16" s="51">
        <v>-1232</v>
      </c>
      <c r="P16" s="51">
        <v>-1232</v>
      </c>
      <c r="Q16" s="51">
        <v>-1232</v>
      </c>
      <c r="R16" s="51">
        <v>-1232</v>
      </c>
      <c r="S16" s="51">
        <v>-1232</v>
      </c>
    </row>
    <row r="17" spans="1:19" ht="15" x14ac:dyDescent="0.35">
      <c r="A17" s="7" t="s">
        <v>2</v>
      </c>
      <c r="B17" s="44">
        <v>9685</v>
      </c>
      <c r="C17" s="45">
        <v>11005</v>
      </c>
      <c r="D17" s="44">
        <v>18534</v>
      </c>
      <c r="E17" s="45">
        <v>13801</v>
      </c>
      <c r="F17" s="44">
        <v>12461</v>
      </c>
      <c r="G17" s="45">
        <v>4334</v>
      </c>
      <c r="H17" s="44">
        <v>10264</v>
      </c>
      <c r="I17" s="45">
        <v>7741</v>
      </c>
      <c r="J17" s="44">
        <v>12776</v>
      </c>
      <c r="K17" s="45">
        <v>2079</v>
      </c>
      <c r="L17" s="63">
        <v>9636</v>
      </c>
      <c r="M17" s="52">
        <v>2079</v>
      </c>
      <c r="N17" s="52">
        <f>SUM(N12:N16)</f>
        <v>9238.8986121040034</v>
      </c>
      <c r="O17" s="52">
        <f t="shared" ref="O17:S17" si="7">SUM(O12:O16)</f>
        <v>10472.36966321137</v>
      </c>
      <c r="P17" s="52">
        <f t="shared" si="7"/>
        <v>12651.712845720673</v>
      </c>
      <c r="Q17" s="52">
        <f t="shared" si="7"/>
        <v>14138.726239442893</v>
      </c>
      <c r="R17" s="52">
        <f t="shared" si="7"/>
        <v>15718.48948355922</v>
      </c>
      <c r="S17" s="52">
        <f t="shared" si="7"/>
        <v>16497.282226071035</v>
      </c>
    </row>
    <row r="18" spans="1:19" ht="15.5" thickBot="1" x14ac:dyDescent="0.4">
      <c r="A18" s="3"/>
      <c r="B18" s="5"/>
      <c r="C18" s="6"/>
      <c r="D18" s="5"/>
      <c r="E18" s="6"/>
      <c r="F18" s="5"/>
      <c r="G18" s="6"/>
      <c r="H18" s="5"/>
      <c r="I18" s="6"/>
      <c r="J18" s="5"/>
      <c r="K18" s="6"/>
      <c r="L18" s="64"/>
      <c r="M18" s="53"/>
      <c r="N18" s="53"/>
      <c r="O18" s="53"/>
      <c r="P18" s="53"/>
      <c r="Q18" s="53"/>
      <c r="R18" s="53"/>
      <c r="S18" s="53"/>
    </row>
    <row r="19" spans="1:19" ht="15.5" thickBot="1" x14ac:dyDescent="0.4">
      <c r="A19" s="4" t="s">
        <v>30</v>
      </c>
      <c r="B19" s="42">
        <v>-1826</v>
      </c>
      <c r="C19" s="43">
        <v>-1680</v>
      </c>
      <c r="D19" s="42">
        <v>-2016</v>
      </c>
      <c r="E19" s="43">
        <v>-2499</v>
      </c>
      <c r="F19" s="42">
        <v>-2594</v>
      </c>
      <c r="G19" s="43">
        <v>-1613</v>
      </c>
      <c r="H19" s="42">
        <v>-1658</v>
      </c>
      <c r="I19" s="43">
        <v>-2585</v>
      </c>
      <c r="J19" s="42">
        <v>-2786</v>
      </c>
      <c r="K19" s="43">
        <v>-1932</v>
      </c>
      <c r="L19" s="62">
        <v>-2671</v>
      </c>
      <c r="M19" s="51">
        <v>-1932</v>
      </c>
      <c r="N19" s="51">
        <f t="shared" ref="N19:S19" si="8">(N17*0.2)*-1</f>
        <v>-1847.7797224208007</v>
      </c>
      <c r="O19" s="51">
        <f t="shared" si="8"/>
        <v>-2094.4739326422741</v>
      </c>
      <c r="P19" s="51">
        <f t="shared" si="8"/>
        <v>-2530.3425691441348</v>
      </c>
      <c r="Q19" s="51">
        <f t="shared" si="8"/>
        <v>-2827.7452478885789</v>
      </c>
      <c r="R19" s="51">
        <f t="shared" si="8"/>
        <v>-3143.6978967118444</v>
      </c>
      <c r="S19" s="51">
        <f t="shared" si="8"/>
        <v>-3299.4564452142072</v>
      </c>
    </row>
    <row r="20" spans="1:19" ht="15.5" thickBot="1" x14ac:dyDescent="0.4">
      <c r="A20" s="4" t="s">
        <v>31</v>
      </c>
      <c r="B20" s="42">
        <v>-2080</v>
      </c>
      <c r="C20" s="43">
        <v>-2165</v>
      </c>
      <c r="D20" s="42">
        <v>-2124</v>
      </c>
      <c r="E20" s="43">
        <v>-2086</v>
      </c>
      <c r="F20" s="42">
        <v>-1594</v>
      </c>
      <c r="G20" s="43">
        <v>-1528</v>
      </c>
      <c r="H20" s="42">
        <v>-1176</v>
      </c>
      <c r="I20" s="43">
        <v>-1318</v>
      </c>
      <c r="J20" s="42">
        <v>-1243</v>
      </c>
      <c r="K20" s="49">
        <v>-797</v>
      </c>
      <c r="L20" s="62">
        <v>-1202</v>
      </c>
      <c r="M20" s="54">
        <v>-797</v>
      </c>
      <c r="N20" s="54">
        <v>-1212</v>
      </c>
      <c r="O20" s="54">
        <v>-1212</v>
      </c>
      <c r="P20" s="54">
        <v>-1212</v>
      </c>
      <c r="Q20" s="54">
        <v>-1212</v>
      </c>
      <c r="R20" s="54">
        <v>-1212</v>
      </c>
      <c r="S20" s="54">
        <v>-1212</v>
      </c>
    </row>
    <row r="21" spans="1:19" ht="15.5" thickBot="1" x14ac:dyDescent="0.4">
      <c r="A21" s="7" t="s">
        <v>3</v>
      </c>
      <c r="B21" s="44">
        <v>5779</v>
      </c>
      <c r="C21" s="45">
        <v>7160</v>
      </c>
      <c r="D21" s="44">
        <v>14394</v>
      </c>
      <c r="E21" s="45">
        <v>9216</v>
      </c>
      <c r="F21" s="44">
        <v>8273</v>
      </c>
      <c r="G21" s="45">
        <v>1241</v>
      </c>
      <c r="H21" s="44">
        <v>7990</v>
      </c>
      <c r="I21" s="45">
        <v>4370</v>
      </c>
      <c r="J21" s="44">
        <v>9171</v>
      </c>
      <c r="K21" s="45">
        <v>1405</v>
      </c>
      <c r="L21" s="66">
        <v>5763</v>
      </c>
      <c r="M21" s="52">
        <v>1405</v>
      </c>
      <c r="N21" s="52">
        <f>SUM(N17:N20)</f>
        <v>6179.1188896832027</v>
      </c>
      <c r="O21" s="52">
        <f t="shared" ref="O21:S21" si="9">SUM(O17:O20)</f>
        <v>7165.8957305690965</v>
      </c>
      <c r="P21" s="52">
        <f t="shared" si="9"/>
        <v>8909.3702765765374</v>
      </c>
      <c r="Q21" s="52">
        <f t="shared" si="9"/>
        <v>10098.980991554314</v>
      </c>
      <c r="R21" s="52">
        <f t="shared" si="9"/>
        <v>11362.791586847376</v>
      </c>
      <c r="S21" s="52">
        <f t="shared" si="9"/>
        <v>11985.825780856827</v>
      </c>
    </row>
    <row r="22" spans="1:19" ht="15" x14ac:dyDescent="0.35">
      <c r="A22" s="69" t="s">
        <v>32</v>
      </c>
      <c r="B22" s="75">
        <f>B21/B3</f>
        <v>0.14800491727705783</v>
      </c>
      <c r="C22" s="70">
        <f t="shared" ref="C22:S22" si="10">C21/C3</f>
        <v>0.18008954172745109</v>
      </c>
      <c r="D22" s="75">
        <f t="shared" si="10"/>
        <v>0.33323301308021763</v>
      </c>
      <c r="E22" s="70">
        <f t="shared" si="10"/>
        <v>0.19582262074240911</v>
      </c>
      <c r="F22" s="75">
        <f t="shared" si="10"/>
        <v>0.19210941853984767</v>
      </c>
      <c r="G22" s="70">
        <f t="shared" si="10"/>
        <v>2.7264538524067929E-2</v>
      </c>
      <c r="H22" s="75">
        <f t="shared" si="10"/>
        <v>0.14564611093895258</v>
      </c>
      <c r="I22" s="70">
        <f t="shared" si="10"/>
        <v>8.2389095228219675E-2</v>
      </c>
      <c r="J22" s="75">
        <f t="shared" si="10"/>
        <v>0.17525654990540618</v>
      </c>
      <c r="K22" s="70">
        <f t="shared" si="10"/>
        <v>2.996949723768691E-2</v>
      </c>
      <c r="L22" s="76">
        <f t="shared" si="10"/>
        <v>0.11208791208791209</v>
      </c>
      <c r="M22" s="77">
        <f t="shared" si="10"/>
        <v>2.996949723768691E-2</v>
      </c>
      <c r="N22" s="77">
        <f t="shared" si="10"/>
        <v>0.12552793526229436</v>
      </c>
      <c r="O22" s="77">
        <f t="shared" si="10"/>
        <v>0.13864206538219861</v>
      </c>
      <c r="P22" s="77">
        <f t="shared" si="10"/>
        <v>0.16416563264746034</v>
      </c>
      <c r="Q22" s="77">
        <f t="shared" si="10"/>
        <v>0.17722439057673486</v>
      </c>
      <c r="R22" s="77">
        <f t="shared" si="10"/>
        <v>0.18990730855618654</v>
      </c>
      <c r="S22" s="77">
        <f t="shared" si="10"/>
        <v>0.19639228664552788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631E-2811-4070-B059-B2A89D868714}">
  <dimension ref="A1:G5"/>
  <sheetViews>
    <sheetView workbookViewId="0">
      <selection activeCell="F9" sqref="F9"/>
    </sheetView>
  </sheetViews>
  <sheetFormatPr defaultRowHeight="14.5" x14ac:dyDescent="0.35"/>
  <cols>
    <col min="1" max="1" width="17.90625" customWidth="1"/>
  </cols>
  <sheetData>
    <row r="1" spans="1:7" x14ac:dyDescent="0.35">
      <c r="B1" s="57">
        <v>2016</v>
      </c>
      <c r="C1" s="57">
        <v>2017</v>
      </c>
      <c r="D1" s="57">
        <v>2018</v>
      </c>
      <c r="E1" s="57">
        <v>2019</v>
      </c>
      <c r="F1" s="57">
        <v>2020</v>
      </c>
      <c r="G1" s="57" t="s">
        <v>0</v>
      </c>
    </row>
    <row r="2" spans="1:7" x14ac:dyDescent="0.35">
      <c r="A2" s="56" t="s">
        <v>19</v>
      </c>
      <c r="B2" s="55">
        <v>10110</v>
      </c>
      <c r="C2" s="55">
        <v>15430</v>
      </c>
      <c r="D2" s="55">
        <v>14936</v>
      </c>
      <c r="E2" s="55">
        <v>14036</v>
      </c>
      <c r="F2" s="55">
        <v>10891</v>
      </c>
      <c r="G2" s="55">
        <v>13711</v>
      </c>
    </row>
    <row r="3" spans="1:7" x14ac:dyDescent="0.35">
      <c r="A3" s="56" t="s">
        <v>20</v>
      </c>
      <c r="B3" s="55">
        <v>-4979</v>
      </c>
      <c r="C3" s="55">
        <v>-4741</v>
      </c>
      <c r="D3" s="55">
        <v>-5005</v>
      </c>
      <c r="E3" s="55">
        <v>-5174</v>
      </c>
      <c r="F3" s="55">
        <v>-3781</v>
      </c>
      <c r="G3" s="55">
        <v>-4375</v>
      </c>
    </row>
    <row r="5" spans="1:7" x14ac:dyDescent="0.35">
      <c r="B5" s="37">
        <f t="shared" ref="B5:G5" si="0">B2+B3</f>
        <v>5131</v>
      </c>
      <c r="C5" s="37">
        <f t="shared" si="0"/>
        <v>10689</v>
      </c>
      <c r="D5" s="37">
        <f t="shared" si="0"/>
        <v>9931</v>
      </c>
      <c r="E5" s="37">
        <f t="shared" si="0"/>
        <v>8862</v>
      </c>
      <c r="F5" s="37">
        <f t="shared" si="0"/>
        <v>7110</v>
      </c>
      <c r="G5" s="37">
        <f t="shared" si="0"/>
        <v>9336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Intrinsic Value Model</vt:lpstr>
      <vt:lpstr>Income Statement Projections</vt:lpstr>
      <vt:lpstr>Free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</dc:creator>
  <cp:lastModifiedBy>Mike G</cp:lastModifiedBy>
  <dcterms:created xsi:type="dcterms:W3CDTF">2020-08-27T03:18:03Z</dcterms:created>
  <dcterms:modified xsi:type="dcterms:W3CDTF">2021-08-17T03:18:18Z</dcterms:modified>
</cp:coreProperties>
</file>