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orl\OneDrive\Desktop\My Folder\"/>
    </mc:Choice>
  </mc:AlternateContent>
  <xr:revisionPtr revIDLastSave="0" documentId="13_ncr:1_{39B04EF4-7F27-4D00-B458-1C3F74EA96FE}" xr6:coauthVersionLast="47" xr6:coauthVersionMax="47" xr10:uidLastSave="{00000000-0000-0000-0000-000000000000}"/>
  <bookViews>
    <workbookView xWindow="-98" yWindow="-98" windowWidth="24196" windowHeight="14476" xr2:uid="{71AEFCAA-7B49-47BC-8C2E-B959CCC76A69}"/>
  </bookViews>
  <sheets>
    <sheet name="DCF Model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D37" i="2"/>
  <c r="E37" i="2" s="1"/>
  <c r="F37" i="2" s="1"/>
  <c r="G37" i="2" s="1"/>
  <c r="H37" i="2" s="1"/>
  <c r="C21" i="2"/>
  <c r="F21" i="2" s="1"/>
  <c r="C20" i="2"/>
  <c r="F20" i="2" s="1"/>
  <c r="C19" i="2"/>
  <c r="C18" i="2"/>
  <c r="D18" i="2" s="1"/>
  <c r="C17" i="2"/>
  <c r="G17" i="2" s="1"/>
  <c r="F19" i="2"/>
  <c r="D17" i="2" l="1"/>
  <c r="E17" i="2"/>
  <c r="F17" i="2"/>
  <c r="F18" i="2"/>
  <c r="E18" i="2"/>
  <c r="C62" i="2"/>
  <c r="C61" i="2"/>
  <c r="C60" i="2"/>
  <c r="C59" i="2"/>
  <c r="C58" i="2"/>
  <c r="H57" i="2"/>
  <c r="G57" i="2"/>
  <c r="F57" i="2"/>
  <c r="E57" i="2"/>
  <c r="D57" i="2"/>
  <c r="H43" i="2"/>
  <c r="G43" i="2"/>
  <c r="F43" i="2"/>
  <c r="E43" i="2"/>
  <c r="D43" i="2"/>
  <c r="D25" i="2"/>
  <c r="D28" i="2" s="1"/>
  <c r="G21" i="2"/>
  <c r="G18" i="2"/>
  <c r="D26" i="2" l="1"/>
  <c r="C32" i="2"/>
  <c r="E25" i="2"/>
  <c r="E28" i="2" s="1"/>
  <c r="D39" i="2"/>
  <c r="D38" i="2"/>
  <c r="D21" i="2"/>
  <c r="D31" i="2" s="1"/>
  <c r="E21" i="2"/>
  <c r="D19" i="2"/>
  <c r="D29" i="2" s="1"/>
  <c r="E19" i="2"/>
  <c r="G19" i="2"/>
  <c r="E20" i="2"/>
  <c r="G20" i="2"/>
  <c r="C27" i="2"/>
  <c r="D20" i="2"/>
  <c r="D30" i="2" s="1"/>
  <c r="F25" i="2" l="1"/>
  <c r="G25" i="2" s="1"/>
  <c r="G28" i="2" s="1"/>
  <c r="E31" i="2"/>
  <c r="E36" i="2" s="1"/>
  <c r="E30" i="2"/>
  <c r="E29" i="2"/>
  <c r="E26" i="2"/>
  <c r="E27" i="2" s="1"/>
  <c r="D36" i="2"/>
  <c r="D27" i="2"/>
  <c r="C33" i="2"/>
  <c r="E39" i="2"/>
  <c r="E38" i="2"/>
  <c r="D32" i="2"/>
  <c r="F39" i="2" l="1"/>
  <c r="F38" i="2"/>
  <c r="G26" i="2"/>
  <c r="G27" i="2" s="1"/>
  <c r="F31" i="2"/>
  <c r="F36" i="2" s="1"/>
  <c r="F30" i="2"/>
  <c r="F29" i="2"/>
  <c r="F28" i="2"/>
  <c r="F26" i="2"/>
  <c r="F27" i="2" s="1"/>
  <c r="D33" i="2"/>
  <c r="D34" i="2" s="1"/>
  <c r="D35" i="2" s="1"/>
  <c r="D40" i="2" s="1"/>
  <c r="D44" i="2" s="1"/>
  <c r="E32" i="2"/>
  <c r="E33" i="2" s="1"/>
  <c r="E34" i="2" s="1"/>
  <c r="E35" i="2" s="1"/>
  <c r="E40" i="2" s="1"/>
  <c r="E44" i="2" s="1"/>
  <c r="G31" i="2"/>
  <c r="G36" i="2" s="1"/>
  <c r="G39" i="2"/>
  <c r="G29" i="2"/>
  <c r="H25" i="2"/>
  <c r="H28" i="2" s="1"/>
  <c r="G38" i="2"/>
  <c r="G30" i="2"/>
  <c r="F32" i="2" l="1"/>
  <c r="F33" i="2" s="1"/>
  <c r="H31" i="2"/>
  <c r="H36" i="2" s="1"/>
  <c r="H39" i="2"/>
  <c r="H26" i="2"/>
  <c r="H27" i="2" s="1"/>
  <c r="H29" i="2"/>
  <c r="H38" i="2"/>
  <c r="H30" i="2"/>
  <c r="G32" i="2"/>
  <c r="G33" i="2" s="1"/>
  <c r="F34" i="2" l="1"/>
  <c r="F35" i="2" s="1"/>
  <c r="F40" i="2" s="1"/>
  <c r="F44" i="2" s="1"/>
  <c r="G34" i="2"/>
  <c r="G35" i="2" s="1"/>
  <c r="H32" i="2"/>
  <c r="H33" i="2" s="1"/>
  <c r="G40" i="2" l="1"/>
  <c r="G44" i="2" s="1"/>
  <c r="H34" i="2"/>
  <c r="H35" i="2" s="1"/>
  <c r="H40" i="2" l="1"/>
  <c r="C48" i="2" l="1"/>
  <c r="C49" i="2" s="1"/>
  <c r="H62" i="2"/>
  <c r="H61" i="2"/>
  <c r="F60" i="2"/>
  <c r="E60" i="2"/>
  <c r="D59" i="2"/>
  <c r="E58" i="2"/>
  <c r="F62" i="2"/>
  <c r="D60" i="2"/>
  <c r="G58" i="2"/>
  <c r="H58" i="2"/>
  <c r="G59" i="2"/>
  <c r="E61" i="2"/>
  <c r="G60" i="2"/>
  <c r="D58" i="2"/>
  <c r="E62" i="2"/>
  <c r="H60" i="2"/>
  <c r="H59" i="2"/>
  <c r="H44" i="2"/>
  <c r="C47" i="2" s="1"/>
  <c r="E59" i="2"/>
  <c r="F58" i="2"/>
  <c r="D61" i="2"/>
  <c r="F61" i="2"/>
  <c r="F59" i="2"/>
  <c r="G62" i="2"/>
  <c r="D62" i="2"/>
  <c r="G61" i="2"/>
  <c r="C50" i="2" l="1"/>
  <c r="C52" i="2" s="1"/>
  <c r="C5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G</author>
  </authors>
  <commentList>
    <comment ref="D28" authorId="0" shapeId="0" xr:uid="{6F126F35-A1CF-4B61-A1E7-3BD9F80DD625}">
      <text>
        <r>
          <rPr>
            <b/>
            <sz val="9"/>
            <color indexed="81"/>
            <rFont val="Tahoma"/>
            <charset val="1"/>
          </rPr>
          <t>Mike G:</t>
        </r>
        <r>
          <rPr>
            <sz val="9"/>
            <color indexed="81"/>
            <rFont val="Tahoma"/>
            <charset val="1"/>
          </rPr>
          <t xml:space="preserve">
Note: I reduced S&amp;M expense manually by $100 million in FY 2026 to adjust for the decrease in Homes.com investment</t>
        </r>
      </text>
    </comment>
    <comment ref="E28" authorId="0" shapeId="0" xr:uid="{E5C78733-A5F8-4074-9D3D-AA4992B747C0}">
      <text>
        <r>
          <rPr>
            <b/>
            <sz val="9"/>
            <color indexed="81"/>
            <rFont val="Tahoma"/>
            <charset val="1"/>
          </rPr>
          <t>Mike G:</t>
        </r>
        <r>
          <rPr>
            <sz val="9"/>
            <color indexed="81"/>
            <rFont val="Tahoma"/>
            <charset val="1"/>
          </rPr>
          <t xml:space="preserve">
Note: I reduced S&amp;M expense manually by $100 million in FY 2027 to adjust for the decrease in Homes.com investment</t>
        </r>
      </text>
    </comment>
    <comment ref="G28" authorId="0" shapeId="0" xr:uid="{F8822F59-9505-4A00-8A91-569C7608B31D}">
      <text>
        <r>
          <rPr>
            <b/>
            <sz val="9"/>
            <color indexed="81"/>
            <rFont val="Tahoma"/>
            <charset val="1"/>
          </rPr>
          <t>Mike G:</t>
        </r>
        <r>
          <rPr>
            <sz val="9"/>
            <color indexed="81"/>
            <rFont val="Tahoma"/>
            <charset val="1"/>
          </rPr>
          <t xml:space="preserve">
Note: I added additional S&amp;M expense manually of $100 million in FY 2029</t>
        </r>
      </text>
    </comment>
    <comment ref="H28" authorId="0" shapeId="0" xr:uid="{8BA0B1FA-0D91-4A16-92D4-507A090A31C9}">
      <text>
        <r>
          <rPr>
            <b/>
            <sz val="9"/>
            <color indexed="81"/>
            <rFont val="Tahoma"/>
            <charset val="1"/>
          </rPr>
          <t>Mike G:</t>
        </r>
        <r>
          <rPr>
            <sz val="9"/>
            <color indexed="81"/>
            <rFont val="Tahoma"/>
            <charset val="1"/>
          </rPr>
          <t xml:space="preserve">
Note: I added additional S&amp;M expense manually of $500 million in FY 2030</t>
        </r>
      </text>
    </comment>
  </commentList>
</comments>
</file>

<file path=xl/sharedStrings.xml><?xml version="1.0" encoding="utf-8"?>
<sst xmlns="http://schemas.openxmlformats.org/spreadsheetml/2006/main" count="62" uniqueCount="56">
  <si>
    <t>Gross Profit</t>
  </si>
  <si>
    <t>Software Development</t>
  </si>
  <si>
    <t>Total Operating Expenses</t>
  </si>
  <si>
    <t>Net Income</t>
  </si>
  <si>
    <t>Discounted Cash Flow Valuation</t>
  </si>
  <si>
    <t>($ in millions, except per-share data)  |  Base year: FY2025A  |  Method: Unlevered FCF, gradual margin improvement</t>
  </si>
  <si>
    <t>KEY VALUATION INPUTS</t>
  </si>
  <si>
    <t>WACC (Discount Rate)</t>
  </si>
  <si>
    <t>Terminal Growth Rate</t>
  </si>
  <si>
    <t>Tax Rate</t>
  </si>
  <si>
    <t>Capital Expenditures (% of Revenue)</t>
  </si>
  <si>
    <t>Incremental NWC (% of Δ Revenue)</t>
  </si>
  <si>
    <t>OPERATING ASSUMPTIONS</t>
  </si>
  <si>
    <t>(% of revenue; FY30 column = editable target)</t>
  </si>
  <si>
    <t>FY2025A</t>
  </si>
  <si>
    <t>FY2026E</t>
  </si>
  <si>
    <t>FY2027E</t>
  </si>
  <si>
    <t>FY2028E</t>
  </si>
  <si>
    <t>FY2029E</t>
  </si>
  <si>
    <t>FY2030E</t>
  </si>
  <si>
    <t>Forecast Year (t)</t>
  </si>
  <si>
    <t>Revenue Growth %</t>
  </si>
  <si>
    <t>Cost of Revenue %</t>
  </si>
  <si>
    <t>Selling &amp; Marketing %</t>
  </si>
  <si>
    <t>Software Development %</t>
  </si>
  <si>
    <t>General &amp; Administrative %</t>
  </si>
  <si>
    <t>Purchase Amortization %</t>
  </si>
  <si>
    <t>PROJECTED FREE CASH FLOW</t>
  </si>
  <si>
    <t>Revenue</t>
  </si>
  <si>
    <t>Cost of Revenue</t>
  </si>
  <si>
    <t>Selling &amp; Marketing</t>
  </si>
  <si>
    <t>General &amp; Administrative</t>
  </si>
  <si>
    <t>Purchase Amortization</t>
  </si>
  <si>
    <t>EBIT (Income from Operations)</t>
  </si>
  <si>
    <t>Less: Cash Taxes</t>
  </si>
  <si>
    <t>Add: Purchase Amortization (non-cash)</t>
  </si>
  <si>
    <t>Less: Capital Expenditures</t>
  </si>
  <si>
    <t>Less: Increase in Net Working Capital</t>
  </si>
  <si>
    <t>Unlevered Free Cash Flow</t>
  </si>
  <si>
    <t>Discount Period (yrs)</t>
  </si>
  <si>
    <t>Discount Factor @ WACC</t>
  </si>
  <si>
    <t>PV of Free Cash Flow</t>
  </si>
  <si>
    <t>VALUATION SUMMARY  (Perpetuity Growth Method)</t>
  </si>
  <si>
    <t>Sum of PV of Free Cash Flow (FY26–FY30)</t>
  </si>
  <si>
    <t>Terminal Value (Gordon Growth, FY2030)</t>
  </si>
  <si>
    <t>PV of Terminal Value</t>
  </si>
  <si>
    <t>Enterprise Value</t>
  </si>
  <si>
    <t>Less: Net Debt</t>
  </si>
  <si>
    <t>Equity Value</t>
  </si>
  <si>
    <t>Intrinsic Value per Share</t>
  </si>
  <si>
    <t>SENSITIVITY — Intrinsic Value per Share</t>
  </si>
  <si>
    <t>Rows = WACC   |   Columns = Terminal Growth Rate</t>
  </si>
  <si>
    <t>WACC ↓ / g →</t>
  </si>
  <si>
    <t xml:space="preserve">Net Debt ($mm)  </t>
  </si>
  <si>
    <t xml:space="preserve">Shares Outstanding (mm)  </t>
  </si>
  <si>
    <t>Add: Depreciation (non-cash)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</si>
</sst>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"/>
    <numFmt numFmtId="165" formatCode="_(* #,##0.0_);_(* \(#,##0.0\);_(* &quot;-&quot;??_);_(@_)"/>
    <numFmt numFmtId="166" formatCode="0.000"/>
    <numFmt numFmtId="167" formatCode="&quot;$&quot;#,##0.00"/>
    <numFmt numFmtId="168" formatCode="_(* #,##0.000_);_(* \(#,##0.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rgb="FF1F4E78"/>
      <name val="Calibri"/>
      <family val="2"/>
      <scheme val="minor"/>
    </font>
    <font>
      <sz val="9"/>
      <color rgb="FF595959"/>
      <name val="Calibri"/>
      <family val="2"/>
      <scheme val="minor"/>
    </font>
    <font>
      <i/>
      <sz val="9"/>
      <color rgb="FF595959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rgb="FFFFFFFF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9E1F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43" fontId="0" fillId="0" borderId="0" xfId="1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2" borderId="0" xfId="0" applyFont="1" applyFill="1"/>
    <xf numFmtId="164" fontId="8" fillId="0" borderId="0" xfId="0" applyNumberFormat="1" applyFont="1"/>
    <xf numFmtId="0" fontId="0" fillId="2" borderId="0" xfId="0" applyFill="1"/>
    <xf numFmtId="0" fontId="5" fillId="0" borderId="0" xfId="0" applyFont="1" applyAlignment="1">
      <alignment horizontal="center"/>
    </xf>
    <xf numFmtId="164" fontId="9" fillId="0" borderId="0" xfId="0" applyNumberFormat="1" applyFont="1"/>
    <xf numFmtId="164" fontId="0" fillId="0" borderId="0" xfId="0" applyNumberFormat="1"/>
    <xf numFmtId="165" fontId="9" fillId="0" borderId="0" xfId="0" applyNumberFormat="1" applyFont="1"/>
    <xf numFmtId="165" fontId="0" fillId="0" borderId="0" xfId="0" applyNumberFormat="1"/>
    <xf numFmtId="165" fontId="2" fillId="0" borderId="1" xfId="0" applyNumberFormat="1" applyFont="1" applyBorder="1"/>
    <xf numFmtId="165" fontId="0" fillId="0" borderId="1" xfId="0" applyNumberFormat="1" applyBorder="1"/>
    <xf numFmtId="165" fontId="2" fillId="3" borderId="2" xfId="0" applyNumberFormat="1" applyFont="1" applyFill="1" applyBorder="1"/>
    <xf numFmtId="2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10" fillId="0" borderId="0" xfId="0" applyFont="1"/>
    <xf numFmtId="167" fontId="10" fillId="4" borderId="3" xfId="0" applyNumberFormat="1" applyFont="1" applyFill="1" applyBorder="1"/>
    <xf numFmtId="0" fontId="11" fillId="5" borderId="0" xfId="0" applyFont="1" applyFill="1" applyAlignment="1">
      <alignment horizontal="center"/>
    </xf>
    <xf numFmtId="164" fontId="2" fillId="6" borderId="0" xfId="0" applyNumberFormat="1" applyFont="1" applyFill="1" applyAlignment="1">
      <alignment horizontal="center"/>
    </xf>
    <xf numFmtId="167" fontId="0" fillId="0" borderId="0" xfId="0" applyNumberFormat="1" applyAlignment="1">
      <alignment horizontal="center"/>
    </xf>
    <xf numFmtId="167" fontId="2" fillId="4" borderId="3" xfId="0" applyNumberFormat="1" applyFont="1" applyFill="1" applyBorder="1" applyAlignment="1">
      <alignment horizontal="center"/>
    </xf>
    <xf numFmtId="9" fontId="0" fillId="0" borderId="0" xfId="2" applyFont="1"/>
    <xf numFmtId="0" fontId="8" fillId="0" borderId="0" xfId="0" applyFont="1"/>
    <xf numFmtId="168" fontId="2" fillId="0" borderId="0" xfId="0" applyNumberFormat="1" applyFont="1"/>
    <xf numFmtId="9" fontId="2" fillId="0" borderId="0" xfId="2" applyFont="1" applyFill="1" applyBorder="1"/>
    <xf numFmtId="10" fontId="2" fillId="0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700" row="5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956EAD7F-4A01-4BEE-90BD-B36A514EF1C2}">
  <we:reference id="wa200009404" version="1.0.0.8" store="en-US" storeType="OMEX"/>
  <we:alternateReferences>
    <we:reference id="WA200009404" version="1.0.0.8" store="" storeType="OMEX"/>
  </we:alternateReferences>
  <we:properties>
    <we:property name="claude.fileId" value="&quot;db141b1d-241e-4001-b65e-c12549b888df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EFB6-6B25-4CA2-88B1-3C4684008DE4}">
  <dimension ref="B1:P65"/>
  <sheetViews>
    <sheetView showGridLines="0" tabSelected="1" workbookViewId="0">
      <pane ySplit="2" topLeftCell="A3" activePane="bottomLeft" state="frozen"/>
      <selection pane="bottomLeft" activeCell="K20" sqref="K20"/>
    </sheetView>
  </sheetViews>
  <sheetFormatPr defaultRowHeight="14.25" x14ac:dyDescent="0.45"/>
  <cols>
    <col min="1" max="1" width="3.19921875" customWidth="1"/>
    <col min="2" max="2" width="40.86328125" customWidth="1"/>
    <col min="3" max="8" width="14.59765625" customWidth="1"/>
  </cols>
  <sheetData>
    <row r="1" spans="2:8" ht="21" x14ac:dyDescent="0.65">
      <c r="B1" s="4" t="s">
        <v>4</v>
      </c>
    </row>
    <row r="2" spans="2:8" x14ac:dyDescent="0.45">
      <c r="B2" s="5" t="s">
        <v>5</v>
      </c>
    </row>
    <row r="4" spans="2:8" x14ac:dyDescent="0.45">
      <c r="B4" s="6" t="s">
        <v>6</v>
      </c>
      <c r="C4" s="8"/>
      <c r="D4" s="8"/>
      <c r="E4" s="8"/>
      <c r="F4" s="8"/>
      <c r="G4" s="8"/>
      <c r="H4" s="8"/>
    </row>
    <row r="5" spans="2:8" x14ac:dyDescent="0.45">
      <c r="B5" t="s">
        <v>7</v>
      </c>
      <c r="C5" s="7">
        <v>0.1</v>
      </c>
    </row>
    <row r="6" spans="2:8" x14ac:dyDescent="0.45">
      <c r="B6" t="s">
        <v>8</v>
      </c>
      <c r="C6" s="7">
        <v>0.05</v>
      </c>
    </row>
    <row r="7" spans="2:8" x14ac:dyDescent="0.45">
      <c r="B7" t="s">
        <v>9</v>
      </c>
      <c r="C7" s="7">
        <v>0.255</v>
      </c>
    </row>
    <row r="8" spans="2:8" x14ac:dyDescent="0.45">
      <c r="B8" t="s">
        <v>10</v>
      </c>
      <c r="C8" s="7">
        <v>2.5000000000000001E-2</v>
      </c>
    </row>
    <row r="9" spans="2:8" x14ac:dyDescent="0.45">
      <c r="B9" t="s">
        <v>11</v>
      </c>
      <c r="C9" s="7">
        <v>0.02</v>
      </c>
    </row>
    <row r="10" spans="2:8" x14ac:dyDescent="0.45">
      <c r="B10" t="s">
        <v>54</v>
      </c>
      <c r="C10" s="26">
        <v>408</v>
      </c>
    </row>
    <row r="11" spans="2:8" x14ac:dyDescent="0.45">
      <c r="B11" t="s">
        <v>53</v>
      </c>
      <c r="C11" s="26">
        <v>0</v>
      </c>
    </row>
    <row r="13" spans="2:8" x14ac:dyDescent="0.45">
      <c r="B13" s="6" t="s">
        <v>12</v>
      </c>
      <c r="C13" s="8"/>
      <c r="D13" s="8"/>
      <c r="E13" s="8"/>
      <c r="F13" s="8"/>
      <c r="G13" s="8"/>
      <c r="H13" s="8"/>
    </row>
    <row r="14" spans="2:8" x14ac:dyDescent="0.45">
      <c r="B14" s="5" t="s">
        <v>13</v>
      </c>
      <c r="C14" s="3" t="s">
        <v>14</v>
      </c>
      <c r="D14" s="3" t="s">
        <v>15</v>
      </c>
      <c r="E14" s="3" t="s">
        <v>16</v>
      </c>
      <c r="F14" s="3" t="s">
        <v>17</v>
      </c>
      <c r="G14" s="3" t="s">
        <v>18</v>
      </c>
      <c r="H14" s="3" t="s">
        <v>19</v>
      </c>
    </row>
    <row r="15" spans="2:8" hidden="1" x14ac:dyDescent="0.45">
      <c r="B15" s="5" t="s">
        <v>20</v>
      </c>
      <c r="C15" s="9">
        <v>0</v>
      </c>
      <c r="D15" s="9">
        <v>1</v>
      </c>
      <c r="E15" s="9">
        <v>2</v>
      </c>
      <c r="F15" s="9">
        <v>3</v>
      </c>
      <c r="G15" s="9">
        <v>4</v>
      </c>
      <c r="H15" s="9">
        <v>5</v>
      </c>
    </row>
    <row r="16" spans="2:8" x14ac:dyDescent="0.45">
      <c r="B16" t="s">
        <v>21</v>
      </c>
      <c r="D16" s="7">
        <v>0.15</v>
      </c>
      <c r="E16" s="7">
        <v>0.15</v>
      </c>
      <c r="F16" s="7">
        <v>0.15</v>
      </c>
      <c r="G16" s="7">
        <v>0.1</v>
      </c>
      <c r="H16" s="7">
        <v>0.1</v>
      </c>
    </row>
    <row r="17" spans="2:16" x14ac:dyDescent="0.45">
      <c r="B17" t="s">
        <v>22</v>
      </c>
      <c r="C17" s="10">
        <f>-C26/C25</f>
        <v>0.21127194333230676</v>
      </c>
      <c r="D17" s="11">
        <f t="shared" ref="D17:G21" si="0">$C17+($H17-$C17)*D$15/5</f>
        <v>0.2090175546658454</v>
      </c>
      <c r="E17" s="11">
        <f t="shared" si="0"/>
        <v>0.20676316599938405</v>
      </c>
      <c r="F17" s="11">
        <f t="shared" si="0"/>
        <v>0.20450877733292272</v>
      </c>
      <c r="G17" s="11">
        <f t="shared" si="0"/>
        <v>0.20225438866646137</v>
      </c>
      <c r="H17" s="7">
        <v>0.2</v>
      </c>
    </row>
    <row r="18" spans="2:16" x14ac:dyDescent="0.45">
      <c r="B18" t="s">
        <v>23</v>
      </c>
      <c r="C18" s="10">
        <f>-C28/C25</f>
        <v>0.48044348629504158</v>
      </c>
      <c r="D18" s="11">
        <f t="shared" si="0"/>
        <v>0.40435478903603328</v>
      </c>
      <c r="E18" s="11">
        <f t="shared" si="0"/>
        <v>0.32826609177702493</v>
      </c>
      <c r="F18" s="11">
        <f t="shared" si="0"/>
        <v>0.25217739451801668</v>
      </c>
      <c r="G18" s="11">
        <f t="shared" si="0"/>
        <v>0.17608869725900833</v>
      </c>
      <c r="H18" s="7">
        <v>0.1</v>
      </c>
    </row>
    <row r="19" spans="2:16" x14ac:dyDescent="0.45">
      <c r="B19" t="s">
        <v>24</v>
      </c>
      <c r="C19" s="10">
        <f>-C29/C25</f>
        <v>0.12503849707422235</v>
      </c>
      <c r="D19" s="11">
        <f t="shared" si="0"/>
        <v>0.12803079765937789</v>
      </c>
      <c r="E19" s="11">
        <f t="shared" si="0"/>
        <v>0.13102309824453343</v>
      </c>
      <c r="F19" s="11">
        <f t="shared" si="0"/>
        <v>0.13401539882968894</v>
      </c>
      <c r="G19" s="11">
        <f t="shared" si="0"/>
        <v>0.13700769941484447</v>
      </c>
      <c r="H19" s="7">
        <v>0.14000000000000001</v>
      </c>
    </row>
    <row r="20" spans="2:16" x14ac:dyDescent="0.45">
      <c r="B20" t="s">
        <v>25</v>
      </c>
      <c r="C20" s="10">
        <f>-C30/C25</f>
        <v>0.16907914998460116</v>
      </c>
      <c r="D20" s="11">
        <f t="shared" si="0"/>
        <v>0.16326331998768093</v>
      </c>
      <c r="E20" s="11">
        <f t="shared" si="0"/>
        <v>0.15744748999076069</v>
      </c>
      <c r="F20" s="11">
        <f t="shared" si="0"/>
        <v>0.15163165999384048</v>
      </c>
      <c r="G20" s="11">
        <f t="shared" si="0"/>
        <v>0.14581582999692025</v>
      </c>
      <c r="H20" s="7">
        <v>0.14000000000000001</v>
      </c>
    </row>
    <row r="21" spans="2:16" x14ac:dyDescent="0.45">
      <c r="B21" t="s">
        <v>26</v>
      </c>
      <c r="C21" s="10">
        <f>-C31/C25</f>
        <v>3.6341238065906993E-2</v>
      </c>
      <c r="D21" s="11">
        <f t="shared" si="0"/>
        <v>3.5072990452725591E-2</v>
      </c>
      <c r="E21" s="11">
        <f t="shared" si="0"/>
        <v>3.3804742839544197E-2</v>
      </c>
      <c r="F21" s="11">
        <f t="shared" si="0"/>
        <v>3.2536495226362795E-2</v>
      </c>
      <c r="G21" s="11">
        <f t="shared" si="0"/>
        <v>3.1268247613181401E-2</v>
      </c>
      <c r="H21" s="7">
        <v>0.03</v>
      </c>
    </row>
    <row r="23" spans="2:16" x14ac:dyDescent="0.45">
      <c r="B23" s="6" t="s">
        <v>27</v>
      </c>
      <c r="C23" s="8"/>
      <c r="D23" s="8"/>
      <c r="E23" s="8"/>
      <c r="F23" s="8"/>
      <c r="G23" s="8"/>
      <c r="H23" s="8"/>
    </row>
    <row r="24" spans="2:16" x14ac:dyDescent="0.45">
      <c r="C24" s="3" t="s">
        <v>14</v>
      </c>
      <c r="D24" s="3" t="s">
        <v>15</v>
      </c>
      <c r="E24" s="3" t="s">
        <v>16</v>
      </c>
      <c r="F24" s="3" t="s">
        <v>17</v>
      </c>
      <c r="G24" s="3" t="s">
        <v>18</v>
      </c>
      <c r="H24" s="3" t="s">
        <v>19</v>
      </c>
    </row>
    <row r="25" spans="2:16" x14ac:dyDescent="0.45">
      <c r="B25" t="s">
        <v>28</v>
      </c>
      <c r="C25" s="12">
        <v>3247</v>
      </c>
      <c r="D25" s="13">
        <f>C25*(1+D16)</f>
        <v>3734.0499999999997</v>
      </c>
      <c r="E25" s="13">
        <f>D25*(1+E16)</f>
        <v>4294.1574999999993</v>
      </c>
      <c r="F25" s="13">
        <f>E25*(1+F16)</f>
        <v>4938.2811249999986</v>
      </c>
      <c r="G25" s="13">
        <f>F25*(1+G16)</f>
        <v>5432.1092374999989</v>
      </c>
      <c r="H25" s="13">
        <f>G25*(1+H16)</f>
        <v>5975.3201612499997</v>
      </c>
    </row>
    <row r="26" spans="2:16" x14ac:dyDescent="0.45">
      <c r="B26" t="s">
        <v>29</v>
      </c>
      <c r="C26" s="12">
        <v>-686</v>
      </c>
      <c r="D26" s="13">
        <f>-D25*D17</f>
        <v>-780.48199999999997</v>
      </c>
      <c r="E26" s="13">
        <f>-E25*E17</f>
        <v>-887.8735999999999</v>
      </c>
      <c r="F26" s="13">
        <f>-F25*F17</f>
        <v>-1009.9218349999999</v>
      </c>
      <c r="G26" s="13">
        <f>-G25*G17</f>
        <v>-1098.6679329999999</v>
      </c>
      <c r="H26" s="13">
        <f>-H25*H17</f>
        <v>-1195.0640322500001</v>
      </c>
    </row>
    <row r="27" spans="2:16" x14ac:dyDescent="0.45">
      <c r="B27" s="2" t="s">
        <v>0</v>
      </c>
      <c r="C27" s="14">
        <f t="shared" ref="C27:H27" si="1">C25+C26</f>
        <v>2561</v>
      </c>
      <c r="D27" s="14">
        <f t="shared" si="1"/>
        <v>2953.5679999999998</v>
      </c>
      <c r="E27" s="14">
        <f t="shared" si="1"/>
        <v>3406.2838999999994</v>
      </c>
      <c r="F27" s="14">
        <f t="shared" si="1"/>
        <v>3928.3592899999985</v>
      </c>
      <c r="G27" s="14">
        <f t="shared" si="1"/>
        <v>4333.4413044999992</v>
      </c>
      <c r="H27" s="14">
        <f t="shared" si="1"/>
        <v>4780.2561289999994</v>
      </c>
    </row>
    <row r="28" spans="2:16" x14ac:dyDescent="0.45">
      <c r="B28" t="s">
        <v>30</v>
      </c>
      <c r="C28" s="12">
        <v>-1560</v>
      </c>
      <c r="D28" s="13">
        <f>-D25*D18+100</f>
        <v>-1409.8809999999999</v>
      </c>
      <c r="E28" s="13">
        <f>-E25*E18+100</f>
        <v>-1309.6262999999997</v>
      </c>
      <c r="F28" s="13">
        <f>-F25*F18</f>
        <v>-1245.3228674999998</v>
      </c>
      <c r="G28" s="13">
        <f>-G25*G18-100</f>
        <v>-1056.5330389999999</v>
      </c>
      <c r="H28" s="13">
        <f>-H25*H18-500</f>
        <v>-1097.5320161250002</v>
      </c>
      <c r="I28" s="25"/>
      <c r="J28" s="25"/>
      <c r="K28" s="25"/>
      <c r="L28" s="25"/>
      <c r="M28" s="25"/>
      <c r="N28" s="25"/>
      <c r="O28" s="25"/>
      <c r="P28" s="25"/>
    </row>
    <row r="29" spans="2:16" x14ac:dyDescent="0.45">
      <c r="B29" t="s">
        <v>1</v>
      </c>
      <c r="C29" s="12">
        <v>-406</v>
      </c>
      <c r="D29" s="13">
        <f>-D25*D19</f>
        <v>-478.07339999999999</v>
      </c>
      <c r="E29" s="13">
        <f>-E25*E19</f>
        <v>-562.63382000000001</v>
      </c>
      <c r="F29" s="13">
        <f>-F25*F19</f>
        <v>-661.80571449999979</v>
      </c>
      <c r="G29" s="13">
        <f>-G25*G19</f>
        <v>-744.24078959999986</v>
      </c>
      <c r="H29" s="13">
        <f>-H25*H19</f>
        <v>-836.54482257500001</v>
      </c>
    </row>
    <row r="30" spans="2:16" x14ac:dyDescent="0.45">
      <c r="B30" t="s">
        <v>31</v>
      </c>
      <c r="C30" s="12">
        <v>-549</v>
      </c>
      <c r="D30" s="13">
        <f>-D25*D20</f>
        <v>-609.63339999999994</v>
      </c>
      <c r="E30" s="13">
        <f>-E25*E20</f>
        <v>-676.1043199999998</v>
      </c>
      <c r="F30" s="13">
        <f>-F25*F20</f>
        <v>-748.79976449999992</v>
      </c>
      <c r="G30" s="13">
        <f>-G25*G20</f>
        <v>-792.0875170999999</v>
      </c>
      <c r="H30" s="13">
        <f>-H25*H20</f>
        <v>-836.54482257500001</v>
      </c>
    </row>
    <row r="31" spans="2:16" x14ac:dyDescent="0.45">
      <c r="B31" t="s">
        <v>32</v>
      </c>
      <c r="C31" s="12">
        <v>-118</v>
      </c>
      <c r="D31" s="13">
        <f>-D25*D21</f>
        <v>-130.96429999999998</v>
      </c>
      <c r="E31" s="13">
        <f>-E25*E21</f>
        <v>-145.16288999999998</v>
      </c>
      <c r="F31" s="13">
        <f>-F25*F21</f>
        <v>-160.67436024999995</v>
      </c>
      <c r="G31" s="13">
        <f>-G25*G21</f>
        <v>-169.85253669999997</v>
      </c>
      <c r="H31" s="13">
        <f>-H25*H21</f>
        <v>-179.25960483749998</v>
      </c>
    </row>
    <row r="32" spans="2:16" x14ac:dyDescent="0.45">
      <c r="B32" t="s">
        <v>2</v>
      </c>
      <c r="C32" s="15">
        <f t="shared" ref="C32:H32" si="2">SUM(C28:C31)</f>
        <v>-2633</v>
      </c>
      <c r="D32" s="15">
        <f t="shared" si="2"/>
        <v>-2628.5520999999999</v>
      </c>
      <c r="E32" s="15">
        <f t="shared" si="2"/>
        <v>-2693.5273299999994</v>
      </c>
      <c r="F32" s="15">
        <f t="shared" si="2"/>
        <v>-2816.6027067499995</v>
      </c>
      <c r="G32" s="15">
        <f t="shared" si="2"/>
        <v>-2762.7138823999994</v>
      </c>
      <c r="H32" s="15">
        <f t="shared" si="2"/>
        <v>-2949.8812661125003</v>
      </c>
    </row>
    <row r="33" spans="2:14" x14ac:dyDescent="0.45">
      <c r="B33" s="2" t="s">
        <v>33</v>
      </c>
      <c r="C33" s="14">
        <f t="shared" ref="C33:H33" si="3">C27+C32</f>
        <v>-72</v>
      </c>
      <c r="D33" s="14">
        <f t="shared" si="3"/>
        <v>325.01589999999987</v>
      </c>
      <c r="E33" s="14">
        <f t="shared" si="3"/>
        <v>712.75657000000001</v>
      </c>
      <c r="F33" s="14">
        <f t="shared" si="3"/>
        <v>1111.756583249999</v>
      </c>
      <c r="G33" s="14">
        <f t="shared" si="3"/>
        <v>1570.7274220999998</v>
      </c>
      <c r="H33" s="14">
        <f t="shared" si="3"/>
        <v>1830.3748628874991</v>
      </c>
      <c r="I33" s="28"/>
      <c r="J33" s="28"/>
      <c r="K33" s="28"/>
      <c r="L33" s="28"/>
      <c r="M33" s="29"/>
      <c r="N33" s="28"/>
    </row>
    <row r="34" spans="2:14" x14ac:dyDescent="0.45">
      <c r="B34" t="s">
        <v>34</v>
      </c>
      <c r="D34" s="13">
        <f>-D33*$C$7</f>
        <v>-82.879054499999967</v>
      </c>
      <c r="E34" s="13">
        <f>-E33*$C$7</f>
        <v>-181.75292535</v>
      </c>
      <c r="F34" s="13">
        <f>-F33*$C$7</f>
        <v>-283.49792872874974</v>
      </c>
      <c r="G34" s="13">
        <f>-G33*$C$7</f>
        <v>-400.53549263549996</v>
      </c>
      <c r="H34" s="13">
        <f>-H33*$C$7</f>
        <v>-466.74559003631231</v>
      </c>
    </row>
    <row r="35" spans="2:14" x14ac:dyDescent="0.45">
      <c r="B35" s="2" t="s">
        <v>3</v>
      </c>
      <c r="D35" s="14">
        <f>D33+D34</f>
        <v>242.13684549999991</v>
      </c>
      <c r="E35" s="14">
        <f>E33+E34</f>
        <v>531.00364465000007</v>
      </c>
      <c r="F35" s="14">
        <f>F33+F34</f>
        <v>828.25865452124935</v>
      </c>
      <c r="G35" s="14">
        <f>G33+G34</f>
        <v>1170.1919294644999</v>
      </c>
      <c r="H35" s="14">
        <f>H33+H34</f>
        <v>1363.6292728511869</v>
      </c>
      <c r="I35" s="27"/>
      <c r="J35" s="27"/>
    </row>
    <row r="36" spans="2:14" x14ac:dyDescent="0.45">
      <c r="B36" t="s">
        <v>35</v>
      </c>
      <c r="D36" s="13">
        <f>-D31</f>
        <v>130.96429999999998</v>
      </c>
      <c r="E36" s="13">
        <f>-E31</f>
        <v>145.16288999999998</v>
      </c>
      <c r="F36" s="13">
        <f>-F31</f>
        <v>160.67436024999995</v>
      </c>
      <c r="G36" s="13">
        <f>-G31</f>
        <v>169.85253669999997</v>
      </c>
      <c r="H36" s="13">
        <f>-H31</f>
        <v>179.25960483749998</v>
      </c>
    </row>
    <row r="37" spans="2:14" x14ac:dyDescent="0.45">
      <c r="B37" t="s">
        <v>55</v>
      </c>
      <c r="D37" s="13">
        <f>71*1.25</f>
        <v>88.75</v>
      </c>
      <c r="E37" s="13">
        <f>D37*1.25</f>
        <v>110.9375</v>
      </c>
      <c r="F37" s="13">
        <f>E37*1.05</f>
        <v>116.484375</v>
      </c>
      <c r="G37" s="13">
        <f>F37*1.05</f>
        <v>122.30859375</v>
      </c>
      <c r="H37" s="13">
        <f>G37*1.05</f>
        <v>128.42402343750001</v>
      </c>
    </row>
    <row r="38" spans="2:14" x14ac:dyDescent="0.45">
      <c r="B38" t="s">
        <v>36</v>
      </c>
      <c r="D38" s="13">
        <f>-D25*$C$8</f>
        <v>-93.351249999999993</v>
      </c>
      <c r="E38" s="13">
        <f>-E25*$C$8</f>
        <v>-107.35393749999999</v>
      </c>
      <c r="F38" s="13">
        <f>-F25*$C$8</f>
        <v>-123.45702812499997</v>
      </c>
      <c r="G38" s="13">
        <f>-G25*$C$8</f>
        <v>-135.80273093749997</v>
      </c>
      <c r="H38" s="13">
        <f>-H25*$C$8</f>
        <v>-149.38300403125001</v>
      </c>
    </row>
    <row r="39" spans="2:14" x14ac:dyDescent="0.45">
      <c r="B39" t="s">
        <v>37</v>
      </c>
      <c r="D39" s="13">
        <f>-(D25-C25)*$C$9</f>
        <v>-9.7409999999999943</v>
      </c>
      <c r="E39" s="13">
        <f>-(E25-D25)*$C$9</f>
        <v>-11.202149999999993</v>
      </c>
      <c r="F39" s="13">
        <f>-(F25-E25)*$C$9</f>
        <v>-12.882472499999986</v>
      </c>
      <c r="G39" s="13">
        <f>-(G25-F25)*$C$9</f>
        <v>-9.8765622500000063</v>
      </c>
      <c r="H39" s="13">
        <f>-(H25-G25)*$C$9</f>
        <v>-10.864218475000015</v>
      </c>
    </row>
    <row r="40" spans="2:14" x14ac:dyDescent="0.45">
      <c r="B40" s="2" t="s">
        <v>38</v>
      </c>
      <c r="D40" s="16">
        <f>SUM(D35:D39)</f>
        <v>358.75889549999994</v>
      </c>
      <c r="E40" s="16">
        <f>SUM(E35:E39)</f>
        <v>668.54794715000003</v>
      </c>
      <c r="F40" s="16">
        <f>SUM(F35:F39)</f>
        <v>969.0778891462495</v>
      </c>
      <c r="G40" s="16">
        <f>SUM(G35:G39)</f>
        <v>1316.6737667269999</v>
      </c>
      <c r="H40" s="16">
        <f>SUM(H35:H39)</f>
        <v>1511.065678619937</v>
      </c>
    </row>
    <row r="42" spans="2:14" x14ac:dyDescent="0.45">
      <c r="B42" s="5" t="s">
        <v>39</v>
      </c>
      <c r="D42" s="17">
        <v>1</v>
      </c>
      <c r="E42" s="17">
        <v>2</v>
      </c>
      <c r="F42" s="17">
        <v>3</v>
      </c>
      <c r="G42" s="17">
        <v>4</v>
      </c>
      <c r="H42" s="17">
        <v>5</v>
      </c>
    </row>
    <row r="43" spans="2:14" x14ac:dyDescent="0.45">
      <c r="B43" s="5" t="s">
        <v>40</v>
      </c>
      <c r="D43" s="18">
        <f>1/(1+$C$5)^D42</f>
        <v>0.90909090909090906</v>
      </c>
      <c r="E43" s="18">
        <f>1/(1+$C$5)^E42</f>
        <v>0.82644628099173545</v>
      </c>
      <c r="F43" s="18">
        <f>1/(1+$C$5)^F42</f>
        <v>0.75131480090157754</v>
      </c>
      <c r="G43" s="18">
        <f>1/(1+$C$5)^G42</f>
        <v>0.68301345536507052</v>
      </c>
      <c r="H43" s="18">
        <f>1/(1+$C$5)^H42</f>
        <v>0.62092132305915493</v>
      </c>
    </row>
    <row r="44" spans="2:14" x14ac:dyDescent="0.45">
      <c r="B44" t="s">
        <v>41</v>
      </c>
      <c r="D44" s="13">
        <f>D40*D43</f>
        <v>326.14445045454539</v>
      </c>
      <c r="E44" s="13">
        <f>E40*E43</f>
        <v>552.51896458677686</v>
      </c>
      <c r="F44" s="13">
        <f>F40*F43</f>
        <v>728.08256134203543</v>
      </c>
      <c r="G44" s="13">
        <f>G40*G43</f>
        <v>899.30589900075108</v>
      </c>
      <c r="H44" s="13">
        <f>H40*H43</f>
        <v>938.25290039797108</v>
      </c>
    </row>
    <row r="46" spans="2:14" x14ac:dyDescent="0.45">
      <c r="B46" s="6" t="s">
        <v>42</v>
      </c>
      <c r="C46" s="8"/>
      <c r="D46" s="8"/>
      <c r="E46" s="8"/>
      <c r="F46" s="8"/>
      <c r="G46" s="8"/>
      <c r="H46" s="8"/>
    </row>
    <row r="47" spans="2:14" x14ac:dyDescent="0.45">
      <c r="B47" t="s">
        <v>43</v>
      </c>
      <c r="C47" s="13">
        <f>SUM(D44:H44)</f>
        <v>3444.30477578208</v>
      </c>
    </row>
    <row r="48" spans="2:14" x14ac:dyDescent="0.45">
      <c r="B48" t="s">
        <v>44</v>
      </c>
      <c r="C48" s="13">
        <f>H40*(1+C6)/(C5-C6)</f>
        <v>31732.379251018676</v>
      </c>
    </row>
    <row r="49" spans="2:8" x14ac:dyDescent="0.45">
      <c r="B49" t="s">
        <v>45</v>
      </c>
      <c r="C49" s="13">
        <f>C48*H43</f>
        <v>19703.310908357391</v>
      </c>
    </row>
    <row r="50" spans="2:8" x14ac:dyDescent="0.45">
      <c r="B50" s="2" t="s">
        <v>46</v>
      </c>
      <c r="C50" s="14">
        <f>C47+C49</f>
        <v>23147.61568413947</v>
      </c>
    </row>
    <row r="51" spans="2:8" x14ac:dyDescent="0.45">
      <c r="B51" t="s">
        <v>47</v>
      </c>
      <c r="C51" s="13">
        <f>-C11</f>
        <v>0</v>
      </c>
    </row>
    <row r="52" spans="2:8" ht="14.65" thickBot="1" x14ac:dyDescent="0.5">
      <c r="B52" s="2" t="s">
        <v>48</v>
      </c>
      <c r="C52" s="14">
        <f>C50+C51</f>
        <v>23147.61568413947</v>
      </c>
    </row>
    <row r="53" spans="2:8" ht="16.149999999999999" thickBot="1" x14ac:dyDescent="0.55000000000000004">
      <c r="B53" s="19" t="s">
        <v>49</v>
      </c>
      <c r="C53" s="20">
        <f>C52/C10</f>
        <v>56.734352167008502</v>
      </c>
    </row>
    <row r="55" spans="2:8" x14ac:dyDescent="0.45">
      <c r="B55" s="6" t="s">
        <v>50</v>
      </c>
      <c r="C55" s="8"/>
      <c r="D55" s="8"/>
      <c r="E55" s="8"/>
      <c r="F55" s="8"/>
      <c r="G55" s="8"/>
      <c r="H55" s="8"/>
    </row>
    <row r="56" spans="2:8" x14ac:dyDescent="0.45">
      <c r="B56" s="5" t="s">
        <v>51</v>
      </c>
    </row>
    <row r="57" spans="2:8" x14ac:dyDescent="0.45">
      <c r="C57" s="21" t="s">
        <v>52</v>
      </c>
      <c r="D57" s="22">
        <f>$C$6-0.01</f>
        <v>0.04</v>
      </c>
      <c r="E57" s="22">
        <f>$C$6-0.005</f>
        <v>4.5000000000000005E-2</v>
      </c>
      <c r="F57" s="22">
        <f>$C$6</f>
        <v>0.05</v>
      </c>
      <c r="G57" s="22">
        <f>$C$6+0.005</f>
        <v>5.5E-2</v>
      </c>
      <c r="H57" s="22">
        <f>$C$6+0.01</f>
        <v>6.0000000000000005E-2</v>
      </c>
    </row>
    <row r="58" spans="2:8" x14ac:dyDescent="0.45">
      <c r="C58" s="22">
        <f>$C$5-0.02</f>
        <v>0.08</v>
      </c>
      <c r="D58" s="23">
        <f t="shared" ref="D58:H62" si="4">(SUMPRODUCT($D$40:$H$40,1/(1+$C58)^$D$42:$H$42)+($H$40*(1+D$57)/($C58-D$57))/(1+$C58)^$H$42-$C$11)/$C$10</f>
        <v>74.532832478607233</v>
      </c>
      <c r="E58" s="23">
        <f t="shared" si="4"/>
        <v>84.255157262586437</v>
      </c>
      <c r="F58" s="23">
        <f t="shared" si="4"/>
        <v>97.218256974558727</v>
      </c>
      <c r="G58" s="23">
        <f t="shared" si="4"/>
        <v>115.36659657131987</v>
      </c>
      <c r="H58" s="23">
        <f t="shared" si="4"/>
        <v>142.58910596646172</v>
      </c>
    </row>
    <row r="59" spans="2:8" ht="14.65" thickBot="1" x14ac:dyDescent="0.5">
      <c r="C59" s="22">
        <f>$C$5-0.01</f>
        <v>9.0000000000000011E-2</v>
      </c>
      <c r="D59" s="23">
        <f t="shared" si="4"/>
        <v>58.780517909839602</v>
      </c>
      <c r="E59" s="23">
        <f t="shared" si="4"/>
        <v>64.611002780807468</v>
      </c>
      <c r="F59" s="23">
        <f t="shared" si="4"/>
        <v>71.89910886951732</v>
      </c>
      <c r="G59" s="23">
        <f t="shared" si="4"/>
        <v>81.269530983572821</v>
      </c>
      <c r="H59" s="23">
        <f t="shared" si="4"/>
        <v>93.763427135646864</v>
      </c>
    </row>
    <row r="60" spans="2:8" ht="14.65" thickBot="1" x14ac:dyDescent="0.5">
      <c r="C60" s="22">
        <f>$C$5</f>
        <v>0.1</v>
      </c>
      <c r="D60" s="23">
        <f t="shared" si="4"/>
        <v>48.302340807222826</v>
      </c>
      <c r="E60" s="23">
        <f t="shared" si="4"/>
        <v>52.135073243489039</v>
      </c>
      <c r="F60" s="24">
        <f t="shared" si="4"/>
        <v>56.73435216700851</v>
      </c>
      <c r="G60" s="23">
        <f t="shared" si="4"/>
        <v>62.355693073532301</v>
      </c>
      <c r="H60" s="23">
        <f t="shared" si="4"/>
        <v>69.382369206687031</v>
      </c>
    </row>
    <row r="61" spans="2:8" x14ac:dyDescent="0.45">
      <c r="C61" s="22">
        <f>$C$5+0.01</f>
        <v>0.11</v>
      </c>
      <c r="D61" s="23">
        <f t="shared" si="4"/>
        <v>40.837074953501158</v>
      </c>
      <c r="E61" s="23">
        <f t="shared" si="4"/>
        <v>43.518032092249229</v>
      </c>
      <c r="F61" s="23">
        <f t="shared" si="4"/>
        <v>46.645815420788665</v>
      </c>
      <c r="G61" s="23">
        <f t="shared" si="4"/>
        <v>50.342286627244341</v>
      </c>
      <c r="H61" s="23">
        <f t="shared" si="4"/>
        <v>54.778052074991173</v>
      </c>
    </row>
    <row r="62" spans="2:8" x14ac:dyDescent="0.45">
      <c r="C62" s="22">
        <f>$C$5+0.02</f>
        <v>0.12000000000000001</v>
      </c>
      <c r="D62" s="23">
        <f t="shared" si="4"/>
        <v>35.254148799465284</v>
      </c>
      <c r="E62" s="23">
        <f t="shared" si="4"/>
        <v>37.215565377120583</v>
      </c>
      <c r="F62" s="23">
        <f t="shared" si="4"/>
        <v>39.457184323012356</v>
      </c>
      <c r="G62" s="23">
        <f t="shared" si="4"/>
        <v>42.043667722118244</v>
      </c>
      <c r="H62" s="23">
        <f t="shared" si="4"/>
        <v>45.061231687741774</v>
      </c>
    </row>
    <row r="65" spans="10:10" x14ac:dyDescent="0.45">
      <c r="J65" s="1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DCF 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G</dc:creator>
  <cp:lastModifiedBy>Mike G</cp:lastModifiedBy>
  <dcterms:created xsi:type="dcterms:W3CDTF">2026-06-13T23:57:42Z</dcterms:created>
  <dcterms:modified xsi:type="dcterms:W3CDTF">2026-06-28T19:58:48Z</dcterms:modified>
</cp:coreProperties>
</file>